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hidePivotFieldList="1" defaultThemeVersion="124226"/>
  <mc:AlternateContent xmlns:mc="http://schemas.openxmlformats.org/markup-compatibility/2006">
    <mc:Choice Requires="x15">
      <x15ac:absPath xmlns:x15ac="http://schemas.microsoft.com/office/spreadsheetml/2010/11/ac" url="https://mmia-my.sharepoint.com/personal/blaughery_mmia_net/Documents/Desktop/"/>
    </mc:Choice>
  </mc:AlternateContent>
  <xr:revisionPtr revIDLastSave="1" documentId="8_{F6140A79-0B1D-498E-9D58-B4D56026D89B}" xr6:coauthVersionLast="47" xr6:coauthVersionMax="47" xr10:uidLastSave="{20296216-1F97-45F4-A614-354479088358}"/>
  <bookViews>
    <workbookView xWindow="-108" yWindow="-108" windowWidth="23256" windowHeight="12576" xr2:uid="{00000000-000D-0000-FFFF-FFFF00000000}"/>
  </bookViews>
  <sheets>
    <sheet name="Questions" sheetId="2" r:id="rId1"/>
    <sheet name="Dashboard Pie Charts" sheetId="3" r:id="rId2"/>
    <sheet name="Dashboard Bar Charts" sheetId="1" r:id="rId3"/>
  </sheets>
  <definedNames>
    <definedName name="_xlnm._FilterDatabase" localSheetId="2" hidden="1">'Dashboard Bar Charts'!$B$5:$F$109</definedName>
    <definedName name="_xlnm._FilterDatabase" localSheetId="0" hidden="1">Questions!$A$4:$O$282</definedName>
    <definedName name="column_1">Questions!$F$5:$F$282</definedName>
    <definedName name="column_2">Questions!$H$5:$H$282</definedName>
    <definedName name="column_3">Questions!$J$5:$J$282</definedName>
    <definedName name="column_4">Questions!$L$5:$L$282</definedName>
    <definedName name="column_5">Questions!$N$5:$N$282</definedName>
    <definedName name="commitment_1">Questions!$F$5:$F$19</definedName>
    <definedName name="commitment_2">Questions!$H$5:$H$19</definedName>
    <definedName name="commitment_3">Questions!$J$5:$J$19</definedName>
    <definedName name="commitment_4">Questions!$L$5:$L$19</definedName>
    <definedName name="commitment_5">Questions!$N$5:$N$19</definedName>
    <definedName name="coordinator_1">Questions!$F$41:$F$52</definedName>
    <definedName name="coordinator_2">Questions!$H$41:$H$52</definedName>
    <definedName name="coordinator_3">Questions!$J$41:$J$52</definedName>
    <definedName name="coordinator_4">Questions!$L$41:$L$52</definedName>
    <definedName name="coordinator_5">Questions!$N$41:$N$52</definedName>
    <definedName name="hazard_1">Questions!$F$53:$F$101</definedName>
    <definedName name="hazard_2">Questions!$H$53:$H$101</definedName>
    <definedName name="hazard_3">Questions!$J$53:$J$101</definedName>
    <definedName name="hazard_4">Questions!$L$53:$L$101</definedName>
    <definedName name="hazard_5">Questions!$N$53:$N$101</definedName>
    <definedName name="hiring_1">Questions!$F$102:$F$148</definedName>
    <definedName name="hiring_2">Questions!$H$102:$H$148</definedName>
    <definedName name="hiring_3">Questions!$J$102:$J$148</definedName>
    <definedName name="hiring_4">Questions!$L$102:$L$148</definedName>
    <definedName name="hiring_5">Questions!$N$102:$N$148</definedName>
    <definedName name="incident_1">Questions!$F$197:$F$214</definedName>
    <definedName name="incident_2">Questions!$H$197:$H$214</definedName>
    <definedName name="incident_3">Questions!$J$197:$J$214</definedName>
    <definedName name="incident_4">Questions!$L$197:$L$214</definedName>
    <definedName name="incident_5">Questions!$N$197:$N$214</definedName>
    <definedName name="record_1">Questions!$F$262:$F$282</definedName>
    <definedName name="record_2">Questions!$H$262:$H$282</definedName>
    <definedName name="record_3">Questions!$J$262:$J$282</definedName>
    <definedName name="record_4">Questions!$L$262:$L$282</definedName>
    <definedName name="record_5">Questions!$N$262:$N$282</definedName>
    <definedName name="roles_1">Questions!$F$20:$F$40</definedName>
    <definedName name="roles_2">Questions!$H$20:$H$40</definedName>
    <definedName name="roles_3">Questions!$J$20:$J$40</definedName>
    <definedName name="roles_4">Questions!$L$20:$L$40</definedName>
    <definedName name="roles_5">Questions!$N$20:$N$40</definedName>
    <definedName name="safety_1">Questions!$F$235:$F$261</definedName>
    <definedName name="safety_2">Questions!$H$235:$H$261</definedName>
    <definedName name="safety_3">Questions!$J$235:$J$261</definedName>
    <definedName name="safety_4">Questions!$L$235:$L$261</definedName>
    <definedName name="safety_5">Questions!$N$235:$N$261</definedName>
    <definedName name="training_1">Questions!$F$149:$F$196</definedName>
    <definedName name="training_2">Questions!$H$149:$H$196</definedName>
    <definedName name="training_3">Questions!$J$149:$J$196</definedName>
    <definedName name="training_4">Questions!$L$149:$L$196</definedName>
    <definedName name="training_5">Questions!$N$149:$N$196</definedName>
    <definedName name="work_1">Questions!$F$215:$F$234</definedName>
    <definedName name="work_2">Questions!$H$215:$H$234</definedName>
    <definedName name="work_3">Questions!$J$215:$J$234</definedName>
    <definedName name="work_4">Questions!$L$215:$L$234</definedName>
    <definedName name="work_5">Questions!$N$215:$N$234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3" l="1"/>
  <c r="E32" i="3"/>
  <c r="D32" i="3"/>
  <c r="C32" i="3"/>
  <c r="G32" i="3"/>
  <c r="P6" i="1"/>
  <c r="P7" i="1"/>
  <c r="P8" i="1"/>
  <c r="P9" i="1"/>
  <c r="P10" i="1"/>
  <c r="B84" i="3"/>
  <c r="B85" i="3"/>
  <c r="B86" i="3"/>
  <c r="B87" i="3"/>
  <c r="B88" i="3"/>
  <c r="Q58" i="3"/>
  <c r="Q59" i="3"/>
  <c r="Q60" i="3"/>
  <c r="Q61" i="3"/>
  <c r="Q62" i="3"/>
  <c r="J58" i="3"/>
  <c r="J59" i="3"/>
  <c r="J60" i="3"/>
  <c r="J61" i="3"/>
  <c r="J62" i="3"/>
  <c r="B58" i="3"/>
  <c r="B59" i="3"/>
  <c r="B60" i="3"/>
  <c r="B61" i="3"/>
  <c r="B62" i="3"/>
  <c r="Q32" i="3"/>
  <c r="Q33" i="3"/>
  <c r="Q34" i="3"/>
  <c r="Q35" i="3"/>
  <c r="Q36" i="3"/>
  <c r="J32" i="3"/>
  <c r="J33" i="3"/>
  <c r="J34" i="3"/>
  <c r="J35" i="3"/>
  <c r="J36" i="3"/>
  <c r="B32" i="3"/>
  <c r="B33" i="3"/>
  <c r="B34" i="3"/>
  <c r="B35" i="3"/>
  <c r="B36" i="3"/>
  <c r="Q10" i="3"/>
  <c r="Q9" i="3"/>
  <c r="Q8" i="3"/>
  <c r="Q7" i="3"/>
  <c r="Q6" i="3"/>
  <c r="J7" i="3"/>
  <c r="J8" i="3"/>
  <c r="J9" i="3"/>
  <c r="J10" i="3"/>
  <c r="J6" i="3"/>
  <c r="B10" i="3"/>
  <c r="B9" i="3"/>
  <c r="B8" i="3"/>
  <c r="B7" i="3"/>
  <c r="B6" i="3"/>
  <c r="K32" i="3"/>
  <c r="K33" i="3"/>
  <c r="O33" i="3"/>
  <c r="K34" i="3"/>
  <c r="O34" i="3"/>
  <c r="K35" i="3"/>
  <c r="K36" i="3"/>
  <c r="O36" i="3"/>
  <c r="F88" i="3"/>
  <c r="E88" i="3"/>
  <c r="D88" i="3"/>
  <c r="C88" i="3"/>
  <c r="G88" i="3"/>
  <c r="F87" i="3"/>
  <c r="E87" i="3"/>
  <c r="D87" i="3"/>
  <c r="C87" i="3"/>
  <c r="G87" i="3"/>
  <c r="F86" i="3"/>
  <c r="E86" i="3"/>
  <c r="D86" i="3"/>
  <c r="C86" i="3"/>
  <c r="G86" i="3"/>
  <c r="F85" i="3"/>
  <c r="E85" i="3"/>
  <c r="D85" i="3"/>
  <c r="C85" i="3"/>
  <c r="G85" i="3"/>
  <c r="F84" i="3"/>
  <c r="E84" i="3"/>
  <c r="D84" i="3"/>
  <c r="C84" i="3"/>
  <c r="G84" i="3"/>
  <c r="U62" i="3"/>
  <c r="T62" i="3"/>
  <c r="S62" i="3"/>
  <c r="R62" i="3"/>
  <c r="V62" i="3"/>
  <c r="N62" i="3"/>
  <c r="M62" i="3"/>
  <c r="O62" i="3"/>
  <c r="L62" i="3"/>
  <c r="K62" i="3"/>
  <c r="F62" i="3"/>
  <c r="E62" i="3"/>
  <c r="D62" i="3"/>
  <c r="C62" i="3"/>
  <c r="G62" i="3"/>
  <c r="U61" i="3"/>
  <c r="T61" i="3"/>
  <c r="S61" i="3"/>
  <c r="R61" i="3"/>
  <c r="V61" i="3"/>
  <c r="N61" i="3"/>
  <c r="M61" i="3"/>
  <c r="L61" i="3"/>
  <c r="K61" i="3"/>
  <c r="O61" i="3"/>
  <c r="F61" i="3"/>
  <c r="E61" i="3"/>
  <c r="D61" i="3"/>
  <c r="C61" i="3"/>
  <c r="G61" i="3"/>
  <c r="U60" i="3"/>
  <c r="T60" i="3"/>
  <c r="S60" i="3"/>
  <c r="R60" i="3"/>
  <c r="V60" i="3"/>
  <c r="N60" i="3"/>
  <c r="M60" i="3"/>
  <c r="L60" i="3"/>
  <c r="K60" i="3"/>
  <c r="O60" i="3"/>
  <c r="F60" i="3"/>
  <c r="E60" i="3"/>
  <c r="D60" i="3"/>
  <c r="C60" i="3"/>
  <c r="G60" i="3"/>
  <c r="U59" i="3"/>
  <c r="T59" i="3"/>
  <c r="S59" i="3"/>
  <c r="R59" i="3"/>
  <c r="V59" i="3"/>
  <c r="N59" i="3"/>
  <c r="M59" i="3"/>
  <c r="L59" i="3"/>
  <c r="K59" i="3"/>
  <c r="O59" i="3"/>
  <c r="F59" i="3"/>
  <c r="G59" i="3"/>
  <c r="E59" i="3"/>
  <c r="D59" i="3"/>
  <c r="C59" i="3"/>
  <c r="U58" i="3"/>
  <c r="T58" i="3"/>
  <c r="S58" i="3"/>
  <c r="R58" i="3"/>
  <c r="V58" i="3"/>
  <c r="N58" i="3"/>
  <c r="M58" i="3"/>
  <c r="L58" i="3"/>
  <c r="K58" i="3"/>
  <c r="O58" i="3"/>
  <c r="F58" i="3"/>
  <c r="E58" i="3"/>
  <c r="G58" i="3"/>
  <c r="D58" i="3"/>
  <c r="C58" i="3"/>
  <c r="U36" i="3"/>
  <c r="T36" i="3"/>
  <c r="S36" i="3"/>
  <c r="R36" i="3"/>
  <c r="V36" i="3"/>
  <c r="N36" i="3"/>
  <c r="M36" i="3"/>
  <c r="F36" i="3"/>
  <c r="E36" i="3"/>
  <c r="D36" i="3"/>
  <c r="C36" i="3"/>
  <c r="G36" i="3"/>
  <c r="U35" i="3"/>
  <c r="T35" i="3"/>
  <c r="S35" i="3"/>
  <c r="R35" i="3"/>
  <c r="V35" i="3"/>
  <c r="N35" i="3"/>
  <c r="M35" i="3"/>
  <c r="O35" i="3"/>
  <c r="F35" i="3"/>
  <c r="G35" i="3"/>
  <c r="E35" i="3"/>
  <c r="D35" i="3"/>
  <c r="C35" i="3"/>
  <c r="U34" i="3"/>
  <c r="T34" i="3"/>
  <c r="S34" i="3"/>
  <c r="R34" i="3"/>
  <c r="V34" i="3"/>
  <c r="N34" i="3"/>
  <c r="M34" i="3"/>
  <c r="F34" i="3"/>
  <c r="E34" i="3"/>
  <c r="D34" i="3"/>
  <c r="C34" i="3"/>
  <c r="G34" i="3"/>
  <c r="U33" i="3"/>
  <c r="T33" i="3"/>
  <c r="S33" i="3"/>
  <c r="R33" i="3"/>
  <c r="V33" i="3"/>
  <c r="N33" i="3"/>
  <c r="M33" i="3"/>
  <c r="F33" i="3"/>
  <c r="E33" i="3"/>
  <c r="D33" i="3"/>
  <c r="C33" i="3"/>
  <c r="G33" i="3"/>
  <c r="U32" i="3"/>
  <c r="T32" i="3"/>
  <c r="S32" i="3"/>
  <c r="R32" i="3"/>
  <c r="V32" i="3"/>
  <c r="N32" i="3"/>
  <c r="O32" i="3"/>
  <c r="M32" i="3"/>
  <c r="U10" i="3"/>
  <c r="T10" i="3"/>
  <c r="S10" i="3"/>
  <c r="R10" i="3"/>
  <c r="V10" i="3"/>
  <c r="N10" i="3"/>
  <c r="M10" i="3"/>
  <c r="L10" i="3"/>
  <c r="K10" i="3"/>
  <c r="O10" i="3"/>
  <c r="F10" i="3"/>
  <c r="E10" i="3"/>
  <c r="G10" i="3"/>
  <c r="D10" i="3"/>
  <c r="C10" i="3"/>
  <c r="U9" i="3"/>
  <c r="T9" i="3"/>
  <c r="S9" i="3"/>
  <c r="R9" i="3"/>
  <c r="V9" i="3"/>
  <c r="N9" i="3"/>
  <c r="O9" i="3"/>
  <c r="M9" i="3"/>
  <c r="L9" i="3"/>
  <c r="K9" i="3"/>
  <c r="F9" i="3"/>
  <c r="E9" i="3"/>
  <c r="D9" i="3"/>
  <c r="C9" i="3"/>
  <c r="G9" i="3"/>
  <c r="U8" i="3"/>
  <c r="T8" i="3"/>
  <c r="S8" i="3"/>
  <c r="R8" i="3"/>
  <c r="V8" i="3"/>
  <c r="N8" i="3"/>
  <c r="M8" i="3"/>
  <c r="O8" i="3"/>
  <c r="L8" i="3"/>
  <c r="K8" i="3"/>
  <c r="F8" i="3"/>
  <c r="E8" i="3"/>
  <c r="D8" i="3"/>
  <c r="C8" i="3"/>
  <c r="G8" i="3"/>
  <c r="U7" i="3"/>
  <c r="T7" i="3"/>
  <c r="S7" i="3"/>
  <c r="R7" i="3"/>
  <c r="V7" i="3"/>
  <c r="N7" i="3"/>
  <c r="M7" i="3"/>
  <c r="L7" i="3"/>
  <c r="K7" i="3"/>
  <c r="O7" i="3"/>
  <c r="F7" i="3"/>
  <c r="E7" i="3"/>
  <c r="D7" i="3"/>
  <c r="C7" i="3"/>
  <c r="G7" i="3"/>
  <c r="U6" i="3"/>
  <c r="T6" i="3"/>
  <c r="V6" i="3"/>
  <c r="S6" i="3"/>
  <c r="R6" i="3"/>
  <c r="N6" i="3"/>
  <c r="M6" i="3"/>
  <c r="L6" i="3"/>
  <c r="K6" i="3"/>
  <c r="O6" i="3"/>
  <c r="F6" i="3"/>
  <c r="E6" i="3"/>
  <c r="D6" i="3"/>
  <c r="C6" i="3"/>
  <c r="T10" i="1"/>
  <c r="S10" i="1"/>
  <c r="R10" i="1"/>
  <c r="Q10" i="1"/>
  <c r="U10" i="1"/>
  <c r="T9" i="1"/>
  <c r="S9" i="1"/>
  <c r="R9" i="1"/>
  <c r="Q9" i="1"/>
  <c r="U9" i="1"/>
  <c r="T8" i="1"/>
  <c r="S8" i="1"/>
  <c r="R8" i="1"/>
  <c r="Q8" i="1"/>
  <c r="U8" i="1"/>
  <c r="T7" i="1"/>
  <c r="S7" i="1"/>
  <c r="R7" i="1"/>
  <c r="Q7" i="1"/>
  <c r="U7" i="1"/>
  <c r="T6" i="1"/>
  <c r="S6" i="1"/>
  <c r="R6" i="1"/>
  <c r="Q6" i="1"/>
  <c r="U6" i="1"/>
  <c r="T36" i="1"/>
  <c r="S36" i="1"/>
  <c r="R36" i="1"/>
  <c r="Q36" i="1"/>
  <c r="U36" i="1"/>
  <c r="T35" i="1"/>
  <c r="S35" i="1"/>
  <c r="R35" i="1"/>
  <c r="Q35" i="1"/>
  <c r="U35" i="1"/>
  <c r="T34" i="1"/>
  <c r="U34" i="1"/>
  <c r="S34" i="1"/>
  <c r="R34" i="1"/>
  <c r="Q34" i="1"/>
  <c r="T33" i="1"/>
  <c r="S33" i="1"/>
  <c r="R33" i="1"/>
  <c r="Q33" i="1"/>
  <c r="U33" i="1"/>
  <c r="T32" i="1"/>
  <c r="S32" i="1"/>
  <c r="R32" i="1"/>
  <c r="Q32" i="1"/>
  <c r="U32" i="1"/>
  <c r="M36" i="1"/>
  <c r="L36" i="1"/>
  <c r="N36" i="1"/>
  <c r="J36" i="1"/>
  <c r="M35" i="1"/>
  <c r="L35" i="1"/>
  <c r="J35" i="1"/>
  <c r="N35" i="1"/>
  <c r="M34" i="1"/>
  <c r="L34" i="1"/>
  <c r="J34" i="1"/>
  <c r="N34" i="1"/>
  <c r="M33" i="1"/>
  <c r="L33" i="1"/>
  <c r="J33" i="1"/>
  <c r="N33" i="1"/>
  <c r="M32" i="1"/>
  <c r="L32" i="1"/>
  <c r="J32" i="1"/>
  <c r="N32" i="1"/>
  <c r="T62" i="1"/>
  <c r="S62" i="1"/>
  <c r="R62" i="1"/>
  <c r="Q62" i="1"/>
  <c r="U62" i="1"/>
  <c r="T61" i="1"/>
  <c r="S61" i="1"/>
  <c r="R61" i="1"/>
  <c r="Q61" i="1"/>
  <c r="U61" i="1"/>
  <c r="T60" i="1"/>
  <c r="S60" i="1"/>
  <c r="R60" i="1"/>
  <c r="Q60" i="1"/>
  <c r="U60" i="1"/>
  <c r="T59" i="1"/>
  <c r="S59" i="1"/>
  <c r="R59" i="1"/>
  <c r="Q59" i="1"/>
  <c r="U59" i="1"/>
  <c r="T58" i="1"/>
  <c r="S58" i="1"/>
  <c r="U58" i="1"/>
  <c r="R58" i="1"/>
  <c r="Q58" i="1"/>
  <c r="M62" i="1"/>
  <c r="L62" i="1"/>
  <c r="K62" i="1"/>
  <c r="J62" i="1"/>
  <c r="N62" i="1"/>
  <c r="M61" i="1"/>
  <c r="N61" i="1"/>
  <c r="L61" i="1"/>
  <c r="K61" i="1"/>
  <c r="J61" i="1"/>
  <c r="M60" i="1"/>
  <c r="L60" i="1"/>
  <c r="K60" i="1"/>
  <c r="J60" i="1"/>
  <c r="N60" i="1"/>
  <c r="M59" i="1"/>
  <c r="L59" i="1"/>
  <c r="K59" i="1"/>
  <c r="J59" i="1"/>
  <c r="N59" i="1"/>
  <c r="M58" i="1"/>
  <c r="L58" i="1"/>
  <c r="N58" i="1"/>
  <c r="K58" i="1"/>
  <c r="J58" i="1"/>
  <c r="E88" i="1"/>
  <c r="D88" i="1"/>
  <c r="C88" i="1"/>
  <c r="B88" i="1"/>
  <c r="F88" i="1"/>
  <c r="E87" i="1"/>
  <c r="D87" i="1"/>
  <c r="C87" i="1"/>
  <c r="B87" i="1"/>
  <c r="F87" i="1"/>
  <c r="E86" i="1"/>
  <c r="D86" i="1"/>
  <c r="C86" i="1"/>
  <c r="B86" i="1"/>
  <c r="F86" i="1"/>
  <c r="E85" i="1"/>
  <c r="D85" i="1"/>
  <c r="C85" i="1"/>
  <c r="B85" i="1"/>
  <c r="F85" i="1"/>
  <c r="E84" i="1"/>
  <c r="D84" i="1"/>
  <c r="C84" i="1"/>
  <c r="F84" i="1"/>
  <c r="B84" i="1"/>
  <c r="M10" i="1"/>
  <c r="L10" i="1"/>
  <c r="K10" i="1"/>
  <c r="J10" i="1"/>
  <c r="N10" i="1"/>
  <c r="M9" i="1"/>
  <c r="L9" i="1"/>
  <c r="K9" i="1"/>
  <c r="J9" i="1"/>
  <c r="N9" i="1"/>
  <c r="M8" i="1"/>
  <c r="L8" i="1"/>
  <c r="K8" i="1"/>
  <c r="J8" i="1"/>
  <c r="N8" i="1"/>
  <c r="M7" i="1"/>
  <c r="L7" i="1"/>
  <c r="K7" i="1"/>
  <c r="J7" i="1"/>
  <c r="N7" i="1"/>
  <c r="M6" i="1"/>
  <c r="L6" i="1"/>
  <c r="K6" i="1"/>
  <c r="J6" i="1"/>
  <c r="N6" i="1"/>
  <c r="E10" i="1"/>
  <c r="D10" i="1"/>
  <c r="C10" i="1"/>
  <c r="B10" i="1"/>
  <c r="F10" i="1"/>
  <c r="E9" i="1"/>
  <c r="F9" i="1"/>
  <c r="D9" i="1"/>
  <c r="C9" i="1"/>
  <c r="B9" i="1"/>
  <c r="E8" i="1"/>
  <c r="D8" i="1"/>
  <c r="C8" i="1"/>
  <c r="B8" i="1"/>
  <c r="F8" i="1"/>
  <c r="E7" i="1"/>
  <c r="D7" i="1"/>
  <c r="C7" i="1"/>
  <c r="B7" i="1"/>
  <c r="F7" i="1"/>
  <c r="B6" i="1"/>
  <c r="E6" i="1"/>
  <c r="D6" i="1"/>
  <c r="C6" i="1"/>
  <c r="E286" i="2"/>
  <c r="E36" i="1"/>
  <c r="E62" i="1"/>
  <c r="E61" i="1"/>
  <c r="E35" i="1"/>
  <c r="E59" i="1"/>
  <c r="E33" i="1"/>
  <c r="F33" i="1"/>
  <c r="E58" i="1"/>
  <c r="E60" i="1"/>
  <c r="E34" i="1"/>
  <c r="E32" i="1"/>
  <c r="D62" i="1"/>
  <c r="D36" i="1"/>
  <c r="C62" i="1"/>
  <c r="F62" i="1"/>
  <c r="C36" i="1"/>
  <c r="F36" i="1"/>
  <c r="B62" i="1"/>
  <c r="B36" i="1"/>
  <c r="D61" i="1"/>
  <c r="D35" i="1"/>
  <c r="C61" i="1"/>
  <c r="C35" i="1"/>
  <c r="F35" i="1"/>
  <c r="B61" i="1"/>
  <c r="F61" i="1"/>
  <c r="B35" i="1"/>
  <c r="D60" i="1"/>
  <c r="D34" i="1"/>
  <c r="C60" i="1"/>
  <c r="C34" i="1"/>
  <c r="B60" i="1"/>
  <c r="B34" i="1"/>
  <c r="F34" i="1"/>
  <c r="D59" i="1"/>
  <c r="D33" i="1"/>
  <c r="C59" i="1"/>
  <c r="C33" i="1"/>
  <c r="B59" i="1"/>
  <c r="B33" i="1"/>
  <c r="P36" i="1"/>
  <c r="I36" i="1"/>
  <c r="I62" i="1"/>
  <c r="A88" i="1"/>
  <c r="A10" i="1"/>
  <c r="I10" i="1"/>
  <c r="P62" i="1"/>
  <c r="A62" i="1"/>
  <c r="A36" i="1"/>
  <c r="P35" i="1"/>
  <c r="I35" i="1"/>
  <c r="I61" i="1"/>
  <c r="A87" i="1"/>
  <c r="A9" i="1"/>
  <c r="I9" i="1"/>
  <c r="P61" i="1"/>
  <c r="A61" i="1"/>
  <c r="A35" i="1"/>
  <c r="P34" i="1"/>
  <c r="I34" i="1"/>
  <c r="I60" i="1"/>
  <c r="A86" i="1"/>
  <c r="A8" i="1"/>
  <c r="I8" i="1"/>
  <c r="P60" i="1"/>
  <c r="A60" i="1"/>
  <c r="A34" i="1"/>
  <c r="P33" i="1"/>
  <c r="I33" i="1"/>
  <c r="I59" i="1"/>
  <c r="A85" i="1"/>
  <c r="A7" i="1"/>
  <c r="I7" i="1"/>
  <c r="P59" i="1"/>
  <c r="A59" i="1"/>
  <c r="A33" i="1"/>
  <c r="D58" i="1"/>
  <c r="C58" i="1"/>
  <c r="B58" i="1"/>
  <c r="F58" i="1"/>
  <c r="B32" i="1"/>
  <c r="F32" i="1"/>
  <c r="C32" i="1"/>
  <c r="D32" i="1"/>
  <c r="I6" i="1"/>
  <c r="A6" i="1"/>
  <c r="A84" i="1"/>
  <c r="I58" i="1"/>
  <c r="I32" i="1"/>
  <c r="P32" i="1"/>
  <c r="P58" i="1"/>
  <c r="A58" i="1"/>
  <c r="A32" i="1"/>
  <c r="F60" i="1"/>
  <c r="F59" i="1"/>
  <c r="G6" i="3"/>
  <c r="F6" i="1"/>
</calcChain>
</file>

<file path=xl/sharedStrings.xml><?xml version="1.0" encoding="utf-8"?>
<sst xmlns="http://schemas.openxmlformats.org/spreadsheetml/2006/main" count="1612" uniqueCount="567">
  <si>
    <t>Management Commitment</t>
  </si>
  <si>
    <t>Excellent</t>
  </si>
  <si>
    <t>Good</t>
  </si>
  <si>
    <t>Opportunity</t>
  </si>
  <si>
    <t>Points</t>
  </si>
  <si>
    <t>Comments</t>
  </si>
  <si>
    <t>Component</t>
  </si>
  <si>
    <t>Involvement</t>
  </si>
  <si>
    <t>Members of management attend some safety meetings and establish safety in correspodence to employees.</t>
  </si>
  <si>
    <t>No evidence of management being involved in the safety process.</t>
  </si>
  <si>
    <t>Policy Statement</t>
  </si>
  <si>
    <t>Management has drafted and stands behind the organization's safety policy statement.</t>
  </si>
  <si>
    <t xml:space="preserve">Management has signed the safety policy statement. </t>
  </si>
  <si>
    <t>No evidence of management being involved with the safety policy statement.</t>
  </si>
  <si>
    <t>Established objectives</t>
  </si>
  <si>
    <t xml:space="preserve">Clear objectives are set on an annual basis and communicated to the entire organization.  Metrics are established to identify successes. </t>
  </si>
  <si>
    <t xml:space="preserve">Objectives are written but no metric developed to measure efforts. </t>
  </si>
  <si>
    <t xml:space="preserve">Management has not established safety objectives. </t>
  </si>
  <si>
    <t>Safety Budget</t>
  </si>
  <si>
    <t xml:space="preserve">Funds are adequately allocated for safety efforts.    Individual departments budget for safe operations.  </t>
  </si>
  <si>
    <t>Funds are allocated for safety on a request basis.</t>
  </si>
  <si>
    <t>There is no safety budget.</t>
  </si>
  <si>
    <t>Accountability</t>
  </si>
  <si>
    <t>All levels of employment are equally accountable for safe operations.  Safety accountability is written into job descriptions. Accountability parameters are established.</t>
  </si>
  <si>
    <t xml:space="preserve">Safety accountability written into job descriptions. </t>
  </si>
  <si>
    <t xml:space="preserve">No evidence of accountability for safety until mistakes are made. </t>
  </si>
  <si>
    <t>Supervisory / Management Training</t>
  </si>
  <si>
    <t>Management hosts and participates in risk management  and safety training on a scheduled basis.</t>
  </si>
  <si>
    <t>Members of management attend safety training given to employees on a scheduled basis.</t>
  </si>
  <si>
    <t xml:space="preserve">No evidence of managers or supervisors involvement in safety training. </t>
  </si>
  <si>
    <t>Employee Training</t>
  </si>
  <si>
    <t xml:space="preserve">Managers and supervisors have a role in providing or arranging for job specific safety training.  </t>
  </si>
  <si>
    <t>The safety coordinator provides all safety training.</t>
  </si>
  <si>
    <t xml:space="preserve">No evidence of established safety training needs. </t>
  </si>
  <si>
    <t>Investigations</t>
  </si>
  <si>
    <t xml:space="preserve">The safety coordinator conducts all investigations and recommends corrective action to management. </t>
  </si>
  <si>
    <t>Investigations are not conducted.  Only first reports of injury are completed.</t>
  </si>
  <si>
    <t>Risk Management on Meeting Agendas</t>
  </si>
  <si>
    <t>Safety is an active agenda item in each management  meeting.</t>
  </si>
  <si>
    <t>Safety is occassionally on the agenda in management meetings.</t>
  </si>
  <si>
    <t>No deliberate agenda for safety in management meetings.</t>
  </si>
  <si>
    <t>Facility Inspections</t>
  </si>
  <si>
    <t>Management is involed with all facility safety inspections.</t>
  </si>
  <si>
    <t xml:space="preserve">Management participates in safety inspections at least once per year. </t>
  </si>
  <si>
    <t>Approval of Safety Policies and Procedures</t>
  </si>
  <si>
    <t>Management always reviews and signs off on approved safety policies and procedures.</t>
  </si>
  <si>
    <t>Management gives the Safety Coordinator the responsibility to approve safety policies and procedures.</t>
  </si>
  <si>
    <t>Management isn't involved with approval of safety policies and procedures.</t>
  </si>
  <si>
    <t xml:space="preserve">Individual departments have established metrics to identify and address their safety performance.  Department supervisors are held accountable to their safety commitments. </t>
  </si>
  <si>
    <t xml:space="preserve">Individual departments review their injury trends and are responsible for addressing them. </t>
  </si>
  <si>
    <t>Claims Management</t>
  </si>
  <si>
    <t>Managers and supervisors are actively involved in claims management through timely investigations to serving on the RTW Team</t>
  </si>
  <si>
    <t xml:space="preserve">Human Resources and /or the Safety Coordinator handles all claims management activities. </t>
  </si>
  <si>
    <t>The company lacks claims management.</t>
  </si>
  <si>
    <t>Claims Costs and Claims Trends</t>
  </si>
  <si>
    <t>Safety Recommendations</t>
  </si>
  <si>
    <t xml:space="preserve">Managers provide written responses to safety committee recommendations and follows through on completion items. </t>
  </si>
  <si>
    <t>The Safety Coordinator is responsible for all Safety Committee recommendations.</t>
  </si>
  <si>
    <t xml:space="preserve">There is no formal response to safety committee recommendations. </t>
  </si>
  <si>
    <t>Total Possible Points</t>
  </si>
  <si>
    <t>Injury Reporting</t>
  </si>
  <si>
    <t>Injury reporting lags.</t>
  </si>
  <si>
    <t>Incident Investigation</t>
  </si>
  <si>
    <t>HR or Safety Coordinator is responsible for all incident investigations.</t>
  </si>
  <si>
    <t>No incident investigations are completed.</t>
  </si>
  <si>
    <t>Cultivates a Positive Culture</t>
  </si>
  <si>
    <t>New Employee Safety Orientation</t>
  </si>
  <si>
    <t xml:space="preserve">New employees do not receive an adequate new employee orientation. </t>
  </si>
  <si>
    <t xml:space="preserve">Accomodation </t>
  </si>
  <si>
    <t xml:space="preserve">Works with supervisors and management to address documented requests for special safety needs of employees. </t>
  </si>
  <si>
    <t xml:space="preserve">Assists employees with special accomodation requests without involving supervisor. </t>
  </si>
  <si>
    <t>No accomodations are made.</t>
  </si>
  <si>
    <t>Job Profiles</t>
  </si>
  <si>
    <t>Performance Evaluations</t>
  </si>
  <si>
    <t xml:space="preserve">Safety is incorporated into performance evaluations for all levels of the organization. </t>
  </si>
  <si>
    <t xml:space="preserve">Safety is incorporated into performance evaluations only for line staff. </t>
  </si>
  <si>
    <t>Safety is not incorporated into performance evaluations.</t>
  </si>
  <si>
    <t>Timely Reporting</t>
  </si>
  <si>
    <t xml:space="preserve">Reports all First Report of Injuries to the insurer within 24 hours.  Has designated a back up if out of the office. </t>
  </si>
  <si>
    <t xml:space="preserve">Attempts to submit FROIs within 24 hours, but often other tasks promote later reporting. </t>
  </si>
  <si>
    <t>Claims Communications</t>
  </si>
  <si>
    <t xml:space="preserve">Serves as the point of contact for the insurer to begin processing the claim. </t>
  </si>
  <si>
    <t xml:space="preserve">Supervisor, Safety Coordinator, and/or HR serves as initial point of contact. </t>
  </si>
  <si>
    <t xml:space="preserve">No designated point of contact in place. </t>
  </si>
  <si>
    <t>Claims Training</t>
  </si>
  <si>
    <t xml:space="preserve">Provides or arranges training for supervisors on accurate completion of the FROI.  Holds supervisors accountable for incomplete reports. </t>
  </si>
  <si>
    <t>Completes incomplete information on the FROI for the supervisors.</t>
  </si>
  <si>
    <t>Supervisors are not involved in the FROI process.</t>
  </si>
  <si>
    <t>Provides or arranges training for supervisors on accurate completion of the Incident Investigation Report.  Holds supervisors accountable for incomplete reports.</t>
  </si>
  <si>
    <t xml:space="preserve">Completes the Incident Investigation Report. </t>
  </si>
  <si>
    <t>Analysis</t>
  </si>
  <si>
    <t>Serves as coordinator for the RTW process.  Coordinates RTW meetings and documents results.  Assists with finding light duty tasks.  Documents RTW job offers.  Tracks progressive healing process.</t>
  </si>
  <si>
    <t>Coordinates light duty with supervisor and employee.</t>
  </si>
  <si>
    <t>RTW teams are not used.</t>
  </si>
  <si>
    <t>Employee Roles</t>
  </si>
  <si>
    <t>Safety Orientation</t>
  </si>
  <si>
    <t>Signs off on new employee orientation.</t>
  </si>
  <si>
    <t xml:space="preserve">Is not required to participate in new employee safety orientation. </t>
  </si>
  <si>
    <t>Job Safety Training</t>
  </si>
  <si>
    <t xml:space="preserve">Actively participates in job specific safety training. Demonstrates understanding. </t>
  </si>
  <si>
    <t>Signs off on Job Safety Training.</t>
  </si>
  <si>
    <t>Is not required to participate in Job Safety Training.</t>
  </si>
  <si>
    <t>Reporting Incidents and Injuries</t>
  </si>
  <si>
    <t>Reports injuries or incidents as soon as possible and within the same workday.</t>
  </si>
  <si>
    <t xml:space="preserve">Injury and incident reporting is usually timely. </t>
  </si>
  <si>
    <t>Always wears the required PPE.  Keeps PPE clean and well maintained.</t>
  </si>
  <si>
    <t>Uses PPE when Safety Coordinator or Supervisor is present.</t>
  </si>
  <si>
    <t>Does not wear PPE.</t>
  </si>
  <si>
    <t>General Housekeeping</t>
  </si>
  <si>
    <t xml:space="preserve">Cleans work area when told to do so. </t>
  </si>
  <si>
    <t>Hazard Reporting</t>
  </si>
  <si>
    <t xml:space="preserve">Reports hazards to supervisor.  Takes initiative to address hazard if within the employees control.  </t>
  </si>
  <si>
    <t xml:space="preserve">Reports only serious hazards. </t>
  </si>
  <si>
    <t>Reports hazard after incident or injury.</t>
  </si>
  <si>
    <t>Safe Work Practices</t>
  </si>
  <si>
    <t xml:space="preserve">Plans work with safety forecasting.  Arranges work process safely.  Controls or mitigates hazards before starting task. </t>
  </si>
  <si>
    <t xml:space="preserve">Follows safety rules and guidelines as they are written. </t>
  </si>
  <si>
    <t xml:space="preserve">No forethought put into safe work processes. </t>
  </si>
  <si>
    <t>Teamwork</t>
  </si>
  <si>
    <t xml:space="preserve">Helps coworkers work safely.  Openly communicates hazards and controls of tasks.  Informs others as information is available. </t>
  </si>
  <si>
    <t xml:space="preserve">Will work as a team and talk safety as other employees do.   Does not address safety on his/her own. </t>
  </si>
  <si>
    <t>Each employee is responsible for his/her own safety.</t>
  </si>
  <si>
    <t>Roles and Responsibilities</t>
  </si>
  <si>
    <t>Appointed</t>
  </si>
  <si>
    <t>Authority</t>
  </si>
  <si>
    <t>Leads Safety Committee</t>
  </si>
  <si>
    <t>Safety Programs</t>
  </si>
  <si>
    <t xml:space="preserve">Drafts, formalizes, and works to implement safety programs.  Evaluates program effectiveness annually. </t>
  </si>
  <si>
    <t>Safety programs are incomplete and not implemented.</t>
  </si>
  <si>
    <t>Management Involvement</t>
  </si>
  <si>
    <t>Reviews information and provides direction.  Follow through and metrics lack.</t>
  </si>
  <si>
    <t>Emergency Action Team</t>
  </si>
  <si>
    <t>Safety Training</t>
  </si>
  <si>
    <t xml:space="preserve">Organizes safety training programs at least quarterly.  Establishes metric for results of safety training.  </t>
  </si>
  <si>
    <t>Safety training is held at least annually.  The training is documented.</t>
  </si>
  <si>
    <t>Safety training is done as needed and documentation is sporadic.</t>
  </si>
  <si>
    <t>Ergonomics</t>
  </si>
  <si>
    <t>Provides or arranges ergonomic assessments for new employees, existing employees, and injured employees.  Follows up with management to ensure recommendations have been implemented.  Provides ergonomic training to all employees annually.</t>
  </si>
  <si>
    <t>Ergonomic assessments are conducted when requested.  Training is conducted for new employees.</t>
  </si>
  <si>
    <t>Ergonomics process is reactive following reported problems.</t>
  </si>
  <si>
    <t xml:space="preserve">Continues Education </t>
  </si>
  <si>
    <t>Continues growing through company experience.  Does not have time or budget to attend safety conferences or seminars.</t>
  </si>
  <si>
    <t xml:space="preserve">No continuing education. </t>
  </si>
  <si>
    <t>Self Audits</t>
  </si>
  <si>
    <t xml:space="preserve">Conducts an audit of the organization's safety management program at least annually.  Formally recommends improvement needs to management and promotes the identified needs be incorporated into annual objectives. </t>
  </si>
  <si>
    <t>Conducts self audits on an unscheduled basis.  Compiles report of findings and communicates to management.  Awaits for management direction.</t>
  </si>
  <si>
    <t>Risk Management</t>
  </si>
  <si>
    <t xml:space="preserve">Thoroughly understands organizational risks.  Has ability to visit field work and analyze work practices.  Incorporates risk mitigation measures into all job categories. </t>
  </si>
  <si>
    <t>Does not understand or manage the organization's risks.</t>
  </si>
  <si>
    <t>Safety Coordinator</t>
  </si>
  <si>
    <t>Year</t>
  </si>
  <si>
    <t>Hiring &amp; Onboarding Practices</t>
  </si>
  <si>
    <t>Hazard Identification</t>
  </si>
  <si>
    <t>Training and Awareness</t>
  </si>
  <si>
    <t>Safety Committee</t>
  </si>
  <si>
    <t>Recordkeeping</t>
  </si>
  <si>
    <t>Incident Management</t>
  </si>
  <si>
    <t>Category</t>
  </si>
  <si>
    <t>roles_1</t>
  </si>
  <si>
    <t>coordinator_1</t>
  </si>
  <si>
    <t>commitment_1</t>
  </si>
  <si>
    <t>incident_1</t>
  </si>
  <si>
    <t>records_1</t>
  </si>
  <si>
    <t>committee_1</t>
  </si>
  <si>
    <t>training_1</t>
  </si>
  <si>
    <t>hazard_1</t>
  </si>
  <si>
    <t>hiring_1</t>
  </si>
  <si>
    <t>commitment_2</t>
  </si>
  <si>
    <t>roles_2</t>
  </si>
  <si>
    <t>coordinator_2</t>
  </si>
  <si>
    <t>hiring_2</t>
  </si>
  <si>
    <t>hazard_2</t>
  </si>
  <si>
    <t>training_2</t>
  </si>
  <si>
    <t>committee_2</t>
  </si>
  <si>
    <t>records_2</t>
  </si>
  <si>
    <t>incident_2</t>
  </si>
  <si>
    <t>work_2</t>
  </si>
  <si>
    <t>training_3</t>
  </si>
  <si>
    <t>committee_3</t>
  </si>
  <si>
    <t>records_3</t>
  </si>
  <si>
    <t>incident_3</t>
  </si>
  <si>
    <t>work_3</t>
  </si>
  <si>
    <t>commitment_4</t>
  </si>
  <si>
    <t>roles_4</t>
  </si>
  <si>
    <t>hiring_4</t>
  </si>
  <si>
    <t>hazard_4</t>
  </si>
  <si>
    <t>training_4</t>
  </si>
  <si>
    <t>committee_4</t>
  </si>
  <si>
    <t>records_4</t>
  </si>
  <si>
    <t>incident_4</t>
  </si>
  <si>
    <t>work_4</t>
  </si>
  <si>
    <t>commitment_5</t>
  </si>
  <si>
    <t>roles_5</t>
  </si>
  <si>
    <t>coordinator_5</t>
  </si>
  <si>
    <t>hiring_5</t>
  </si>
  <si>
    <t>hazard_5</t>
  </si>
  <si>
    <t>training_5</t>
  </si>
  <si>
    <t>committee_5</t>
  </si>
  <si>
    <t>records_5</t>
  </si>
  <si>
    <t>incident_5</t>
  </si>
  <si>
    <t>work_5</t>
  </si>
  <si>
    <t>coordinator_4</t>
  </si>
  <si>
    <t>Not Answered</t>
  </si>
  <si>
    <t>Safety Dashboard Summary</t>
  </si>
  <si>
    <t>Safety Dashboard Questionnaire</t>
  </si>
  <si>
    <t xml:space="preserve">Members of management are actively involved in the safety management process through participation in each meeting to modeling and coaching safe behavior. </t>
  </si>
  <si>
    <t>Management and supervisors are effective with timely investigation of reported incidents or accidents. Their report is documented with recommendations for corrective action and established completion dates.</t>
  </si>
  <si>
    <t>Safety Performance Responsibility</t>
  </si>
  <si>
    <t>The safety coordinator is responsible for the organization's safety performance.</t>
  </si>
  <si>
    <t>Managers and supervisors are aware of claims costs and trends specific to their department.  They are charged with implementing controls to reduce or mitigate costs and trends related to safety failures.  A charge back system or other effective accountability process is in place for each department's performance.</t>
  </si>
  <si>
    <t>Human Resources and/or the Safety Coordinator generates reports that are specific to each department.  The reports are reviewed with the respective manager or supervisor.</t>
  </si>
  <si>
    <t>No formal analysis of costs or trends of failures in safety is conducted.</t>
  </si>
  <si>
    <t>Supervisors complete the First Report of Injury (FROI) and submit to HR within 24 hour of notice.  Supervisors and managers are accountable for accurate completion of FROI.</t>
  </si>
  <si>
    <t xml:space="preserve">Injuries are reported to supervisors, but HR or Safety Coordinator completes the FROI timely. </t>
  </si>
  <si>
    <t xml:space="preserve">Supervisors thoroughly complete an Incident Investigation Report and submit to HR within 24 hours of notice.  Supervisors and managers are held accountable for incomplete investigations. </t>
  </si>
  <si>
    <t>Provides recognition and feedback for employee who deliberately work safely.  Provides timely coaching to employees who are observed working unsafely.</t>
  </si>
  <si>
    <t>Provides recognition and coaching broadly to the organization via email, in staff meetings, or other means.</t>
  </si>
  <si>
    <t>No visible effort in cultivating positive culture.</t>
  </si>
  <si>
    <t xml:space="preserve">Ensures all employees receive adequate safety orientation.  The orientation is completed thoroughly by knowledgeable personnel.  The orientation is documented accurately with topics and dates. </t>
  </si>
  <si>
    <t xml:space="preserve">Provides an employee handbook or other written document for new employee to review and sign in receipt of the information. </t>
  </si>
  <si>
    <t>Safety standards are incorporated to job profiles.</t>
  </si>
  <si>
    <t xml:space="preserve">Safety standards are expected but not formally written. </t>
  </si>
  <si>
    <t xml:space="preserve">No safety standards are in place. </t>
  </si>
  <si>
    <t xml:space="preserve">Timely submission of FROI lags by evidence of accident dates and date received by insurance carrier. </t>
  </si>
  <si>
    <t xml:space="preserve">Reviews reports provided by the insurance carrier and communicates internally on status of claims and injury trends.  Works with management and Safety Coordinator on identified needs. </t>
  </si>
  <si>
    <t xml:space="preserve">Reviews reports from the insurance carrier, but no action is taken. </t>
  </si>
  <si>
    <t xml:space="preserve">Receives reports, but doesn't know what to do with them or doesn't receive reports. </t>
  </si>
  <si>
    <t>Return to Work (RTW) Team</t>
  </si>
  <si>
    <t xml:space="preserve">Actively participates in new employee orientations. Asks questions andunderstanding is evidenced. </t>
  </si>
  <si>
    <t>Reports are only given if medical treatment or property damage occur.</t>
  </si>
  <si>
    <t>Personal Protection Equipment (PPE)</t>
  </si>
  <si>
    <t>Maintains good housekeeping in work areas.  Uses warning or caution signs if work area will be disturbed.</t>
  </si>
  <si>
    <t>Housekeeping is generally not maintained.</t>
  </si>
  <si>
    <t>Safety management is a full time position.</t>
  </si>
  <si>
    <t>Safety management is a half time position.</t>
  </si>
  <si>
    <t>Safety management is an additional duty.</t>
  </si>
  <si>
    <t>Can stop work if conditions or practices are unsafe.</t>
  </si>
  <si>
    <t>Works with supervisor on resolving safety issues.</t>
  </si>
  <si>
    <t>No visible authority.</t>
  </si>
  <si>
    <t>Delegates projects, follows up on completion.</t>
  </si>
  <si>
    <t>Chairs committee and takes on the committee work load.</t>
  </si>
  <si>
    <t>Effective safety committee leadership is not visible.</t>
  </si>
  <si>
    <t>Proposes safety programs to management and waits for approval.  Implements via email memo.</t>
  </si>
  <si>
    <t>Reports quarterly to Executive Management on State of Safety.</t>
  </si>
  <si>
    <t>Emails communications to management as needed.</t>
  </si>
  <si>
    <t>Analyzes accident reports and loss reports from insurance carrier.  Works to implement effective corrective action.  Has established metrics to identify success.</t>
  </si>
  <si>
    <t>No formal analysis in place.</t>
  </si>
  <si>
    <t>Participates in the  Emergency Action Team.</t>
  </si>
  <si>
    <t>Does not participate in the existing Emergency Action Team.</t>
  </si>
  <si>
    <t>There is no Emergency Action Team.</t>
  </si>
  <si>
    <t>Poignant in self growth and development in regard to safety leadership.  Attends at least one safety seminar or conference per year.</t>
  </si>
  <si>
    <t>No self audits.</t>
  </si>
  <si>
    <t>Spends 95% of time in an office setting.  Understands risk by description but has not thoroughly analyzed the risks.</t>
  </si>
  <si>
    <t>Facility Safety Inspections</t>
  </si>
  <si>
    <t xml:space="preserve">Conducted frequently and corrective action is documented. </t>
  </si>
  <si>
    <t>Conducted annually and corrective action is documented.</t>
  </si>
  <si>
    <t>No evidence of facility inspections being conducted.</t>
  </si>
  <si>
    <t>Grounds Safety Inspections</t>
  </si>
  <si>
    <t>No evidence of grounds inspections being conducted.</t>
  </si>
  <si>
    <t>Fleet Safety Inspections</t>
  </si>
  <si>
    <t>Pre-operational inspections documented with timely corrective action.</t>
  </si>
  <si>
    <t>Monthly inspections conducted.</t>
  </si>
  <si>
    <t>No evidence of fleet inspections.</t>
  </si>
  <si>
    <t>Heavy Equipment Safety Inspections</t>
  </si>
  <si>
    <t>No evidence of heavy equipment safety inspections.</t>
  </si>
  <si>
    <t>ATV or Utility Vehicle Inspections</t>
  </si>
  <si>
    <t>No evidence of ATV or UTV inspections.</t>
  </si>
  <si>
    <t>Hand and Power Tool Inspections</t>
  </si>
  <si>
    <t>No evidence of inspections.</t>
  </si>
  <si>
    <t>Ladder Safety Inspections</t>
  </si>
  <si>
    <t>Behavioral Safety Inspections</t>
  </si>
  <si>
    <t>Work activities are reviewed on a scheduled interval with timely feedback provided to employees.</t>
  </si>
  <si>
    <t>Work activites are addressed on an unscheduled, as needed basis.</t>
  </si>
  <si>
    <t>No evidence of behavioral safety inspections.</t>
  </si>
  <si>
    <t xml:space="preserve">Fleet Safety  </t>
  </si>
  <si>
    <t xml:space="preserve">Company specific driving rules, seat belt use, distraction prevention, fleet inspection, and driver training in place.  Motor vehicle records are checked initially and annually for persons regularly required to drive a company vehicle. </t>
  </si>
  <si>
    <t>No formal fleet program is in effect.</t>
  </si>
  <si>
    <t>Hazard Communication</t>
  </si>
  <si>
    <t>Written program in place to include new employee training, list of hazardous chemicals, employee access to safety data sheets, defined labeling requirements, personal protective equipment requirements, and additional training should a new chemical or process be introduced into the workplace.</t>
  </si>
  <si>
    <t>Written program in place with some missing elements.  Employee training in place.</t>
  </si>
  <si>
    <t>No written program or employee training in place.</t>
  </si>
  <si>
    <t>Chemical Hygiene</t>
  </si>
  <si>
    <t>A written chemical hygiene plan is in place: standard procedures in place for handling and storing hazardous chemicals, fume hoods are adequately maintained and verified functioning.  Certain procedures require permission and oversight from the employer prior to performing.   Medical monitoring program is in place for affected employees if applicable.  Employee training is conducted initially and annually.  The program is reviewed annually to evaluate its effectiveness.</t>
  </si>
  <si>
    <t xml:space="preserve">A necessary chemical hygiene plan is not in place. </t>
  </si>
  <si>
    <t>Respiratory Protection</t>
  </si>
  <si>
    <t>Respiratory hazards quantified and controlled by engineering practices.</t>
  </si>
  <si>
    <t>Written respiratory protection program is in place to include program administrator, medical questionnaire, fit testing, equipment inspection, and training.</t>
  </si>
  <si>
    <t>Lockout Tagout</t>
  </si>
  <si>
    <t>Equipment specific hazardous energy control procedures are documented.  Employees receive training intially and annually.  Periodic inspections are conducted and documented.</t>
  </si>
  <si>
    <t>Locks and tags are available for employees performing service or maintenance on equipment.  Training has been conducted for authorized employees.</t>
  </si>
  <si>
    <t>No lockout tagout program is in place.</t>
  </si>
  <si>
    <t>Confined Space Entry</t>
  </si>
  <si>
    <t xml:space="preserve">Spaces are identified and employees are trained to never enter OR a written program is in place.  Entry occurs only by permit.  Atmospheres are monitored before and during entry.  Attendant always present without other assigned duties.  Emergency rescue plans in place.  Employees trained in confined space entry procedures and rescue procedures.   An annual review of the program is in place. </t>
  </si>
  <si>
    <t>Spaces are not identified but employees may have an occasional need to enter a confined space.  Entry occurs with proper ventilation and an attendant present.</t>
  </si>
  <si>
    <t>No confined space entry program or training is in place.</t>
  </si>
  <si>
    <t>Hearing Conservation Program</t>
  </si>
  <si>
    <t>Noise is established safe through engineering controls OR a written hearing conservation program is in place that includes baseline and annual audiograms, new employee and annual training, and properly chosen hearing protection.</t>
  </si>
  <si>
    <t>Effective hearing protection is required when working with or around noisy equipment.</t>
  </si>
  <si>
    <t>Noise exposures have not been evaluated.  Employees can wear ear plugs if they want to.</t>
  </si>
  <si>
    <t>Equipment / Machine Guarding</t>
  </si>
  <si>
    <t>Equipment and power tools with guards will not operate without the guards in place.  Employees receive training on machine guarding requirements.</t>
  </si>
  <si>
    <t>Machines and equipment are guarded.  The guards can be removed but only with a lockout tagout process.</t>
  </si>
  <si>
    <t>There is no verification of adequate machine guarding.</t>
  </si>
  <si>
    <t>Electrical Safety</t>
  </si>
  <si>
    <t xml:space="preserve">Only qualified personnel work on electrical systems.  Electrical systems are adequately guarded.  Cord powered equipment is inspected.  Cords are not covered with tape and ground pin is never removed.  Ground Fault Circuit Interuppters (GFCI) or ground assurance program are in place.  Inspections look for electrical safety and needs for permanent wiring.  Safety awareness program provided for all employees. </t>
  </si>
  <si>
    <t xml:space="preserve">Only qualified personnel work on electrical systems.  Electrical systems are adequately guarded.  Cord powered equipment is inspected and addressed appropriately.  Safety awareness program provided for all employees. </t>
  </si>
  <si>
    <t xml:space="preserve">No visible electrical safety efforts in place. </t>
  </si>
  <si>
    <t>Fall Protection Systems</t>
  </si>
  <si>
    <t>Employees are protected by engineered fall protection systems while working on elevated work surfaces.</t>
  </si>
  <si>
    <t xml:space="preserve">Fall protection plans are in place.  Employees are trained in use, maintenance, and requirements of personal fall protection. </t>
  </si>
  <si>
    <t xml:space="preserve">Fall protection systems are not provided. </t>
  </si>
  <si>
    <t>Personal Protective Equipment</t>
  </si>
  <si>
    <t xml:space="preserve">A certified hazard assessment has been conducted.  Employees are provided appropriate PPE and are trained in its use.  </t>
  </si>
  <si>
    <t xml:space="preserve">Personal Protective Equipment is available for use, but employees decide when to use it. </t>
  </si>
  <si>
    <t>PPE is not provided.</t>
  </si>
  <si>
    <t>Emergency Action Plan (EAP)</t>
  </si>
  <si>
    <t>A written EAP is in place and addresses potential emergencies at the specific workplace.  Employees receive training initially and annually.  Physical drills are performed and evaluated on a scheduled basis.</t>
  </si>
  <si>
    <t>A written plan is in place.  Facility plans are posted.  Employees are shown exits when they begin their employment</t>
  </si>
  <si>
    <t>An EAP does not exist.</t>
  </si>
  <si>
    <t>Fire Prevention Plan</t>
  </si>
  <si>
    <t>A written fire prevention plan is in place and followed.</t>
  </si>
  <si>
    <t>The fire prevention plan is known, but not written.</t>
  </si>
  <si>
    <t xml:space="preserve">No plans for fire prevention. </t>
  </si>
  <si>
    <t>Traffic Control Plan</t>
  </si>
  <si>
    <t xml:space="preserve">Workzones are established following the Manual of Uniform Traffice Control Devices (MUTCD) guidelines.  Internal traffic control plans are identified and followed.  Site specific training occurs for affected employees.  Flaggers are trained specifically for their duties.  Reflective attire is worn when onsite.  Public service announcements are provided to the community.  Law enforcement is requested to patrol the site. </t>
  </si>
  <si>
    <t>Construction zones are set up to control public motorists.  Awareness is discussed for internal traffic control.  Reflective attire is worn.</t>
  </si>
  <si>
    <t>No visible efforts are in place for traffic control plans.</t>
  </si>
  <si>
    <t xml:space="preserve">An ergonomics process has been established.  Employees are trained in risk factors and prevention methods.  Engineering methods are used to maintain anatomically correct postures while minimizing repetition and force.  A reporting system is in place for symptoms of cumulative injury.  High risk tasks are analyzed for improvement. </t>
  </si>
  <si>
    <t xml:space="preserve">Employees are trained initially and annually in ergonomics.  Symptoms of injury are reported timely and action is taken. </t>
  </si>
  <si>
    <t xml:space="preserve">Ergonomics is addressed reactively when discomfort or cumulative injuries are reported. </t>
  </si>
  <si>
    <t>Manual Material Handling</t>
  </si>
  <si>
    <t xml:space="preserve">Manual material handling is minimized.  Lifting policies are in place.  Mechanical equipment is available and used by qualified personnel.  Employees are trained in injury prevention methods at least annually. </t>
  </si>
  <si>
    <t>Back safety training is conducted once per year.</t>
  </si>
  <si>
    <t xml:space="preserve">No visible efforts are in place to address manual material handling. </t>
  </si>
  <si>
    <t>Power Industrial Truck (PIT), often Forklift, but could be other</t>
  </si>
  <si>
    <t xml:space="preserve">All operators are trained and authorized.  The equipment is inspected before operation and the inspection is documented.  Safety issues are addressed through the inspection process and a paper trail follows identified issues to completion.  Seat belts are required.  Exhaust issues, if applicable, are effectively addressed.  </t>
  </si>
  <si>
    <t xml:space="preserve">All operators are trained and authorized.  A pre-operational inspection is completed but documentation lacks.  Safe operations are enforced. </t>
  </si>
  <si>
    <t xml:space="preserve">Employees who know how to operate the PIT are encouraged to pitch in.  No inspections are conducted. </t>
  </si>
  <si>
    <t>Trenching and Excavation</t>
  </si>
  <si>
    <t xml:space="preserve">Appropriate sloping, shoring, or shielding used for 5' or deeper.  Competent person inspects the trench daily and as conditions change.  Employees receive training initially, annually, and site specific.  Heavy equipment and spoil always kept at least 2 feet away from edge.  Ladders provided for access and exit.  Atmosphere is tested prior to entry. </t>
  </si>
  <si>
    <t xml:space="preserve">No evidence of excavation safety in place. </t>
  </si>
  <si>
    <t>Exposure Control Plan for Prevention of Bloodborne Pathogens Exposure</t>
  </si>
  <si>
    <t xml:space="preserve">Full Exposure Control Program implemented: Exposure group identified, initial and annual training, training records kept, vaccines offerred and declinations documented, engineering controls and safe work practices identified and followed; decontamination procedures in place.   Effectiveness is reviewed annually. </t>
  </si>
  <si>
    <t>Program is written. Improvements are necessary in implementation.</t>
  </si>
  <si>
    <t xml:space="preserve">A necessary exposure control program is not in place. </t>
  </si>
  <si>
    <t>Welding</t>
  </si>
  <si>
    <t>Compressed Gas</t>
  </si>
  <si>
    <t>Hand and Power Tool Program</t>
  </si>
  <si>
    <t>Consumer Aggression</t>
  </si>
  <si>
    <t>Violent Offenders</t>
  </si>
  <si>
    <t>Patient Handling</t>
  </si>
  <si>
    <t>Working with Livestock</t>
  </si>
  <si>
    <t>Working with Wildlife</t>
  </si>
  <si>
    <t>Unexploded Ordinance</t>
  </si>
  <si>
    <t>Handling Fire Arms or other weapons</t>
  </si>
  <si>
    <t>Handling Explosives</t>
  </si>
  <si>
    <t>Airplane Operations</t>
  </si>
  <si>
    <t>Helicoptor Operations</t>
  </si>
  <si>
    <t>Wildland Fire Fighting</t>
  </si>
  <si>
    <t>Structural Fire Fighting</t>
  </si>
  <si>
    <t>Working in or around waterways</t>
  </si>
  <si>
    <t>Print Press Operation</t>
  </si>
  <si>
    <t>Open positions are advertised in multiple venues for a standardized amount of time.</t>
  </si>
  <si>
    <t xml:space="preserve">Job postings include the job requirements. </t>
  </si>
  <si>
    <t>Job postings include the requirement to pass a drug screen before employment.</t>
  </si>
  <si>
    <t xml:space="preserve">Application is reviewed and content is verfied by appointed personnel.  </t>
  </si>
  <si>
    <t>References are provided by the candidate and checked by the employer.</t>
  </si>
  <si>
    <t>Written job desciptions are in place for all positions.</t>
  </si>
  <si>
    <t>Job descriptions outline the physcial requirements of the job.</t>
  </si>
  <si>
    <t xml:space="preserve">Job descriptions include expectations of safe work practices. </t>
  </si>
  <si>
    <t>Potential candidates are screened by meeting the minimum qualifications which have been defined.</t>
  </si>
  <si>
    <t xml:space="preserve">Hiring managers have received training on appropriate interview techniques and legal issues that may involve the interview process. </t>
  </si>
  <si>
    <t>During the interview process the candidates are requested to elaborate on their work history and experience.</t>
  </si>
  <si>
    <t xml:space="preserve">During the interview process the candidates are requested to explain gaps in employment.  </t>
  </si>
  <si>
    <t xml:space="preserve">During the interview process the candidates are asked if they can perform the essential functions of the job with or without accomodations. </t>
  </si>
  <si>
    <t xml:space="preserve">Interview questions about prior workers compensation injuries are avoided.  </t>
  </si>
  <si>
    <t xml:space="preserve">Questions regarding the candidates perception of safety are included in the interview process. </t>
  </si>
  <si>
    <t xml:space="preserve">Post job offer background checks are conducted on potential hires with their consent. </t>
  </si>
  <si>
    <t xml:space="preserve">Post offer credit checks are conducted on potential hires with their consent. </t>
  </si>
  <si>
    <t>Job offers are made contingent upon the candidate passing applicable post offer drug test, physical, background check, motor vehicle check, etc.</t>
  </si>
  <si>
    <t xml:space="preserve">Pre-employment/ post offer drug testing follows a lawful chain of custody process. </t>
  </si>
  <si>
    <t xml:space="preserve">Candidates who fail the post offer drug test have opportunity to retest at their own expense. </t>
  </si>
  <si>
    <t>Job offers are made contingent upon passing a pre-employment / post offer physical.</t>
  </si>
  <si>
    <t xml:space="preserve">Pre-employment physicals are designed to simulate the physical requirements of the job. </t>
  </si>
  <si>
    <t xml:space="preserve">Post offer physicals are medical certifications as required by a regulatory agency. </t>
  </si>
  <si>
    <t xml:space="preserve">Clean motor vehicle records are required for those who have or may have the duty to drive as part of their job. </t>
  </si>
  <si>
    <t>E-verify is used to confirm lawful working status.</t>
  </si>
  <si>
    <t>Job offers are provided in writing and accepted by the candidate's signature.</t>
  </si>
  <si>
    <t>A probationary period is established, communicated, and adhered to.</t>
  </si>
  <si>
    <t xml:space="preserve">Medical benefits are provided to the employee by the company.  </t>
  </si>
  <si>
    <t>Medical benefits are affordable, measured by most employees participating.</t>
  </si>
  <si>
    <t xml:space="preserve">New employees are eligible for medical benefits within the first 90 days of employment. </t>
  </si>
  <si>
    <t>Always</t>
  </si>
  <si>
    <t>Sometimes</t>
  </si>
  <si>
    <t>Never</t>
  </si>
  <si>
    <t>Proper employment documents are signed by the employee and turned in timely.</t>
  </si>
  <si>
    <t>A point person reviews company policies with the new hire.</t>
  </si>
  <si>
    <t xml:space="preserve">Company commitment to safety and employee accountability toward success is verbalized. </t>
  </si>
  <si>
    <t xml:space="preserve">Emergency procedures are discussed and the new employee is provided a facility tour to effectively identify exit routes, fire extinguishers, and shelters in place.  </t>
  </si>
  <si>
    <t>Injury reporting procedures are provided in written and oral format.</t>
  </si>
  <si>
    <t>The Return to Work program and expectations are provided.</t>
  </si>
  <si>
    <t xml:space="preserve">If employees supply their own tools, the safety requirements/conditions of the tools are provided in written and oral format. </t>
  </si>
  <si>
    <t xml:space="preserve">Employees are informed of their empowerment to stop an unsafe job.  </t>
  </si>
  <si>
    <t>Employees are paired with a mentor who provides on the job training and observes the new employee.</t>
  </si>
  <si>
    <t>Performance expectations are communicated to the employee during the orientation process.</t>
  </si>
  <si>
    <t xml:space="preserve">Employee performance is measured and reviewed with the employee at pre-determined intervals, such as 1 month, 3 months, and 6 months.  </t>
  </si>
  <si>
    <t>Performance issues are addressed immediately through coaching.</t>
  </si>
  <si>
    <t xml:space="preserve">A progressive disciplinary action process is established and described to address non-performers. </t>
  </si>
  <si>
    <t xml:space="preserve">Workstations are verified to be ergonomically correct for the new employee. </t>
  </si>
  <si>
    <t>Training</t>
  </si>
  <si>
    <t>New Employee orientation conducted orally and written</t>
  </si>
  <si>
    <t>Worksite Specific Hazards</t>
  </si>
  <si>
    <t>Hazardous Chemicals</t>
  </si>
  <si>
    <t>Equipment Operations</t>
  </si>
  <si>
    <t xml:space="preserve">Fall Protection </t>
  </si>
  <si>
    <t>Safe Use of Ladders</t>
  </si>
  <si>
    <t>Electricity</t>
  </si>
  <si>
    <t>Fleet Operations</t>
  </si>
  <si>
    <t>Workzone Safety</t>
  </si>
  <si>
    <t>Excavation / Trenching</t>
  </si>
  <si>
    <t>Felling / Bucking Trees</t>
  </si>
  <si>
    <t>Power Tools</t>
  </si>
  <si>
    <t>Hearing Conservation</t>
  </si>
  <si>
    <t>Machine Guarding</t>
  </si>
  <si>
    <t>Lone Work Procedures</t>
  </si>
  <si>
    <t xml:space="preserve">Training conducted by knowledgable person on topic </t>
  </si>
  <si>
    <t>Regular Refresher Training Scheduled</t>
  </si>
  <si>
    <t>Additional training in areas of major loss sources</t>
  </si>
  <si>
    <t>Training conducted when new hazards identified</t>
  </si>
  <si>
    <t>Job Transfer Training</t>
  </si>
  <si>
    <t>Safety is on the agenda in staff meetings</t>
  </si>
  <si>
    <t>Safety materials are posted</t>
  </si>
  <si>
    <t>Safety advertisements are done</t>
  </si>
  <si>
    <t>Safety fairs or Safety days are used</t>
  </si>
  <si>
    <t>Safety incentive programs exist</t>
  </si>
  <si>
    <t>Safety newsletters are established</t>
  </si>
  <si>
    <t>Safety Goals and Objectives are Communicated</t>
  </si>
  <si>
    <t>Safety Committee notifies the company of meeting minutes availability</t>
  </si>
  <si>
    <t>Accident analysis is shared with company employees</t>
  </si>
  <si>
    <t>Hazard Alerts communicated with company employees</t>
  </si>
  <si>
    <t>Safety recognition programs are in place</t>
  </si>
  <si>
    <t>Employees and staff are informed of safety committee members</t>
  </si>
  <si>
    <t xml:space="preserve">A written incident management policy  has been developed and implemented. </t>
  </si>
  <si>
    <t xml:space="preserve">A formal Return to Work program has been developed.  </t>
  </si>
  <si>
    <t xml:space="preserve">Employees have been trained in incident reporting procedures. </t>
  </si>
  <si>
    <t>All Incidents are reported, regardless of severity / property damage.</t>
  </si>
  <si>
    <t>An incident investigation program has been developed.</t>
  </si>
  <si>
    <t xml:space="preserve">Injured employees are involved in the incident review process.  </t>
  </si>
  <si>
    <t>Incident reviews lead to causation factors and drive corrective action.</t>
  </si>
  <si>
    <t>Incidents are managed to ensure prompt medical care to injured employees.</t>
  </si>
  <si>
    <t xml:space="preserve">Incidents are managed to ensure all injuries are reported within 24 hours. </t>
  </si>
  <si>
    <t xml:space="preserve">OSHA recordkeeping reports are completed immediately. </t>
  </si>
  <si>
    <t xml:space="preserve">Temporary transitional jobs are designated so RTW can begin immediately. </t>
  </si>
  <si>
    <t>Employer sends RTW information to the doctor with the injured employee.</t>
  </si>
  <si>
    <t xml:space="preserve">Employer requires employee to return medical status forms following every doctor visit. </t>
  </si>
  <si>
    <t xml:space="preserve">Temporary duty status is reviewed following every visit to the doctor. </t>
  </si>
  <si>
    <t>All injuries are considered for participation in RTW.</t>
  </si>
  <si>
    <t>Employees on transitional duty are managed to ensure they are not working outside their restrictions.</t>
  </si>
  <si>
    <t xml:space="preserve">Corrective actions are taken to prevent the reoccurrance of the injury.  </t>
  </si>
  <si>
    <t xml:space="preserve">Employees are re-trained in any changes made because of an incident. </t>
  </si>
  <si>
    <t>Management instills a positive, cooperative culture for Return to Work within the company.</t>
  </si>
  <si>
    <t xml:space="preserve">A transitional duty team coordinator (TDTC) has been assigned to facilitate transitional duty team meetings and manage the workers' compensation claim process. </t>
  </si>
  <si>
    <t xml:space="preserve">All injured employees immediately notify their supervisor, human resources or the TDTC when injured. </t>
  </si>
  <si>
    <t xml:space="preserve">The First Report of Injury is submitted to the workers compensation carrier within 24 hours following notification from the employee of an injury. </t>
  </si>
  <si>
    <t>The medical status form is provided to the employee to take to their first and subsequent visits with their health care provider.</t>
  </si>
  <si>
    <t xml:space="preserve">When the medical status form is received and the injured employee is released to work, a transitional duty team meeting is scheduled and held between human resources (HR) and or the TDTC, the supervisor and the injured employee; to review medical restrictions listed on the medical status form and  to collectively develop transitional duty. </t>
  </si>
  <si>
    <t xml:space="preserve">The employee provides the medical status form after every medical visit to the TDTC. The TDTC then schedules a meeting with the transitional duty team to discuss updates to those restrictions and make adjustments to the employee's RTW Plan.  </t>
  </si>
  <si>
    <t xml:space="preserve">If the employee is not released, the supervisor and or TDTC makes weekly contact with employee and ensures the contact log is updated.
</t>
  </si>
  <si>
    <t>The return to work plan is documented using the transitional duty tracking form (or other form of documentation) after every transitional duty team meeting.</t>
  </si>
  <si>
    <t xml:space="preserve">A copy of the transitional duty tracking form is provided to the employee to provide at the next health care provider's visit. </t>
  </si>
  <si>
    <t>The return to work progress of injured employees is regularly communicated to the workers compensation carrier.</t>
  </si>
  <si>
    <t>HR/TDTC keeps in contact with the claims examiner throughout the process. HR/TDTC stays informed on severity, lost time, and duration.  TDTC ensures contact is maintained between the examiner and the employee.</t>
  </si>
  <si>
    <t xml:space="preserve">HR Specialist/TDTC monitors the claim until employee reaches maximum medical improvement (MMI); HR/TDTC asks claims examiner to close the claim. </t>
  </si>
  <si>
    <t xml:space="preserve">Medical Status Forms, transitional duty tracking forms, contact logs, FROI are filed for each injured worker. </t>
  </si>
  <si>
    <t xml:space="preserve">The physical/mental demands of the department's positon are listed in the job profile. </t>
  </si>
  <si>
    <t>Return to work training is provided to all employees.</t>
  </si>
  <si>
    <t>Return to work training is provided to all supervisors.</t>
  </si>
  <si>
    <t>Regular RTW training and updates are incorporated into safety committee meetings or other staff meetings.</t>
  </si>
  <si>
    <t>RTW responsibilities are incorporated into position descriptions and performance appraisals.</t>
  </si>
  <si>
    <t xml:space="preserve">The number of transitional duty team meetings are monitored and the outcome of the RTW effort is tracked. </t>
  </si>
  <si>
    <t xml:space="preserve">Safety Committee </t>
  </si>
  <si>
    <t>The safety committee has some employees from each workgroup.</t>
  </si>
  <si>
    <t xml:space="preserve">The safety committee has members from both management and employee groups.  </t>
  </si>
  <si>
    <t xml:space="preserve">Employees have been selected based on their interest in safety, or their ability to help lead change.  </t>
  </si>
  <si>
    <t>A written Committee Charter has been developed.</t>
  </si>
  <si>
    <t xml:space="preserve">Recommendations made by the committee are considered by management and drive change.  </t>
  </si>
  <si>
    <t>(Monthly)</t>
  </si>
  <si>
    <t>(Quarterly)</t>
  </si>
  <si>
    <t>(Less)</t>
  </si>
  <si>
    <t xml:space="preserve">The committee has clear goals and objectives. </t>
  </si>
  <si>
    <t xml:space="preserve">Meeting minutes are kept and posted where all employees can see them. </t>
  </si>
  <si>
    <t>The committee spreads safety awareness throughout the company.</t>
  </si>
  <si>
    <t>The committee performs incident reviews.</t>
  </si>
  <si>
    <t xml:space="preserve">The committee makes recommendations from incident reviews to prevent future incidents from occurring.  </t>
  </si>
  <si>
    <t>The committee performs hazard assessments.</t>
  </si>
  <si>
    <t>Committee members have training in hazard identification.</t>
  </si>
  <si>
    <t xml:space="preserve">The committee has a designated chairperson.  </t>
  </si>
  <si>
    <t xml:space="preserve">Committee members review safety programs and make suggestions for revisions. </t>
  </si>
  <si>
    <t>Safety Committee members hold toolbox meetings with their workgroups.</t>
  </si>
  <si>
    <t xml:space="preserve">Safety committee members bring safety committee information back from meetings to their workgroup. </t>
  </si>
  <si>
    <t xml:space="preserve">Safety committee members bring concerns and issues to the safety committee meetings from their workgroups.  </t>
  </si>
  <si>
    <t xml:space="preserve">The safety committee tracks its successes and shares them throughout the organization. </t>
  </si>
  <si>
    <t>The safety committee hosts safety events to raise awareness and education.</t>
  </si>
  <si>
    <t xml:space="preserve">Safety committee members are the eyes and ears of the company.   </t>
  </si>
  <si>
    <t>The safety committee is viewed as a resource and trusted group by the employees.</t>
  </si>
  <si>
    <t xml:space="preserve">The committee members are renewed or replaced on a scheduled basis.  </t>
  </si>
  <si>
    <t xml:space="preserve">Safety Committee members are rewarded for their participation on the committee.  </t>
  </si>
  <si>
    <t>Yes</t>
  </si>
  <si>
    <t>Maybe</t>
  </si>
  <si>
    <t>No</t>
  </si>
  <si>
    <t>Date, topic, and sign in sheet for safety trainings</t>
  </si>
  <si>
    <t>Date of corrective items applicable to safety inspection</t>
  </si>
  <si>
    <t>Progressive discipline for safety violations</t>
  </si>
  <si>
    <t>OSHA 300 Logs (current and five years prior)</t>
  </si>
  <si>
    <t>Employer Experience Reports, also known as, Loss Runs</t>
  </si>
  <si>
    <t>Safety Data Sheets (SDS), formerly MSDS</t>
  </si>
  <si>
    <t>Return to Work Program</t>
  </si>
  <si>
    <t>Return to Work Management</t>
  </si>
  <si>
    <t>Roles and Responsibilties
Management Roles</t>
  </si>
  <si>
    <t>Roles and Responsibilties
Human Resources Roles</t>
  </si>
  <si>
    <t>Hazard Identification
Hazard Specific Controls</t>
  </si>
  <si>
    <r>
      <t xml:space="preserve">Hazard Identification:
Additional Worksite Hazards:
</t>
    </r>
    <r>
      <rPr>
        <sz val="11"/>
        <color theme="1"/>
        <rFont val="Calibri"/>
        <family val="2"/>
        <scheme val="minor"/>
      </rPr>
      <t xml:space="preserve">Define the controls in place for each as applicable. </t>
    </r>
  </si>
  <si>
    <r>
      <t>Hazard Identification
Other Worksite Hazards:</t>
    </r>
    <r>
      <rPr>
        <sz val="11"/>
        <color theme="1"/>
        <rFont val="Calibri"/>
        <family val="2"/>
        <scheme val="minor"/>
      </rPr>
      <t xml:space="preserve"> </t>
    </r>
  </si>
  <si>
    <t>Hiring &amp; Onboarding Practices
Clear Expectations</t>
  </si>
  <si>
    <t>Accident Reporting Procedures</t>
  </si>
  <si>
    <t>Hazard Reporting Procedures</t>
  </si>
  <si>
    <t>Emergency Procedures</t>
  </si>
  <si>
    <t>Fire Prevention</t>
  </si>
  <si>
    <t xml:space="preserve">First Aid </t>
  </si>
  <si>
    <t>Back Injury Prevention</t>
  </si>
  <si>
    <t>Slip and Fall Prevention</t>
  </si>
  <si>
    <t>Introduction of Safety Committee Members</t>
  </si>
  <si>
    <t>Safety Accountability</t>
  </si>
  <si>
    <t>Training
Job Specific Training</t>
  </si>
  <si>
    <t>Training
Awareness</t>
  </si>
  <si>
    <t>Return to Work (RTW)
Management Components</t>
  </si>
  <si>
    <t xml:space="preserve">New Employee Training for All
</t>
  </si>
  <si>
    <t xml:space="preserve">A formal application process is in place. 
</t>
  </si>
  <si>
    <t xml:space="preserve">The committee meets regularly.  
</t>
  </si>
  <si>
    <t xml:space="preserve">The committee has been funded.
</t>
  </si>
  <si>
    <t xml:space="preserve">A safety committee has been created. 
</t>
  </si>
  <si>
    <t xml:space="preserve">New employee orientation
</t>
  </si>
  <si>
    <t xml:space="preserve">Task specific training
</t>
  </si>
  <si>
    <t xml:space="preserve">Safety committee minutes
</t>
  </si>
  <si>
    <t xml:space="preserve">Date of safety inspections
</t>
  </si>
  <si>
    <t xml:space="preserve">Written safety program
</t>
  </si>
  <si>
    <t xml:space="preserve">Preventative maintenance
</t>
  </si>
  <si>
    <t xml:space="preserve">Repair logs
</t>
  </si>
  <si>
    <t xml:space="preserve">Incident investigation forms
</t>
  </si>
  <si>
    <t xml:space="preserve">First Report of Injury
</t>
  </si>
  <si>
    <t xml:space="preserve">Fire extinguisher inspections
</t>
  </si>
  <si>
    <t xml:space="preserve">Snow removal logs
</t>
  </si>
  <si>
    <t xml:space="preserve">Return to Work Program
</t>
  </si>
  <si>
    <t xml:space="preserve">Offers of Light Duty 
</t>
  </si>
  <si>
    <t xml:space="preserve">Claims notes
</t>
  </si>
  <si>
    <t xml:space="preserve">Emergency drill evaluations
</t>
  </si>
  <si>
    <t>Not Applicable</t>
  </si>
  <si>
    <t xml:space="preserve">The application has been approved by legal counsel. </t>
  </si>
  <si>
    <t xml:space="preserve">Interviews are conducted by both human resources and the supervisor to whom the candidate would report to. </t>
  </si>
  <si>
    <t xml:space="preserve"> </t>
  </si>
  <si>
    <t>Management is not involved with facility safety inspections.</t>
  </si>
  <si>
    <t>No lines of communication with coordinator and management.</t>
  </si>
  <si>
    <t>No written program, medical questionnaire, fit testing, or training in place.</t>
  </si>
  <si>
    <t>[type your current hazard controls here]</t>
  </si>
  <si>
    <t>[type additionally identified hazards specific to your organization here]</t>
  </si>
  <si>
    <t>Training
Employee Orientation</t>
  </si>
  <si>
    <t xml:space="preserve">Employees have been given permission to fully participate in the safety committee activities.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</si>
</sst>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b/>
      <sz val="11"/>
      <color theme="1"/>
      <name val="Calibri"/>
      <family val="2"/>
      <scheme val="minor"/>
    </font>
    <font>
      <sz val="24"/>
      <color theme="8" tint="-0.249977111117893"/>
      <name val="Calibri"/>
      <family val="2"/>
      <scheme val="minor"/>
    </font>
    <font>
      <sz val="20"/>
      <color theme="1"/>
      <name val="Calibri"/>
      <family val="2"/>
      <scheme val="minor"/>
    </font>
    <font>
      <sz val="36"/>
      <color rgb="FF862622"/>
      <name val="Calibri"/>
      <family val="2"/>
      <scheme val="minor"/>
    </font>
    <font>
      <b/>
      <sz val="20"/>
      <color theme="0"/>
      <name val="Calibri"/>
      <family val="2"/>
      <scheme val="minor"/>
    </font>
    <font>
      <b/>
      <sz val="14"/>
      <color theme="0"/>
      <name val="Calibri"/>
      <family val="2"/>
      <scheme val="minor"/>
    </font>
    <font>
      <b/>
      <sz val="18"/>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8626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3" fillId="0" borderId="0" xfId="0" applyFont="1" applyAlignment="1">
      <alignment vertical="center"/>
    </xf>
    <xf numFmtId="0" fontId="0" fillId="0" borderId="0" xfId="0" applyAlignment="1">
      <alignment horizontal="center"/>
    </xf>
    <xf numFmtId="0" fontId="4" fillId="0" borderId="0" xfId="0" applyFont="1"/>
    <xf numFmtId="0" fontId="0" fillId="0" borderId="0" xfId="0" quotePrefix="1"/>
    <xf numFmtId="0" fontId="0" fillId="2" borderId="0" xfId="0" applyFill="1" applyAlignment="1">
      <alignment horizontal="center"/>
    </xf>
    <xf numFmtId="0" fontId="0" fillId="2" borderId="0" xfId="0" applyFill="1"/>
    <xf numFmtId="0" fontId="3" fillId="2" borderId="0" xfId="0" applyFont="1" applyFill="1" applyAlignment="1">
      <alignment vertical="center"/>
    </xf>
    <xf numFmtId="0" fontId="2" fillId="2" borderId="1" xfId="0" applyFont="1" applyFill="1" applyBorder="1" applyAlignment="1">
      <alignment horizontal="center"/>
    </xf>
    <xf numFmtId="0" fontId="2" fillId="2" borderId="1" xfId="0" quotePrefix="1" applyFont="1" applyFill="1" applyBorder="1" applyAlignment="1">
      <alignment horizontal="center"/>
    </xf>
    <xf numFmtId="0" fontId="2" fillId="2" borderId="2" xfId="0" applyFont="1" applyFill="1" applyBorder="1" applyAlignment="1">
      <alignment horizontal="left" vertical="center" wrapText="1"/>
    </xf>
    <xf numFmtId="0" fontId="0" fillId="2" borderId="1" xfId="0" applyFill="1" applyBorder="1" applyAlignment="1">
      <alignment vertical="center" wrapText="1"/>
    </xf>
    <xf numFmtId="0" fontId="2" fillId="2" borderId="1" xfId="0" applyFont="1" applyFill="1" applyBorder="1" applyAlignment="1">
      <alignment horizontal="left" vertical="center" wrapText="1"/>
    </xf>
    <xf numFmtId="0" fontId="0" fillId="2" borderId="1" xfId="0" applyFill="1" applyBorder="1" applyAlignment="1" applyProtection="1">
      <alignment vertical="center" wrapText="1"/>
      <protection locked="0"/>
    </xf>
    <xf numFmtId="0" fontId="2" fillId="2" borderId="1" xfId="0" applyFont="1" applyFill="1" applyBorder="1" applyAlignment="1" applyProtection="1">
      <alignment horizontal="left" vertical="center" wrapText="1"/>
      <protection locked="0"/>
    </xf>
    <xf numFmtId="0" fontId="0" fillId="2" borderId="3" xfId="0" applyFill="1" applyBorder="1" applyAlignment="1">
      <alignment horizontal="center"/>
    </xf>
    <xf numFmtId="0" fontId="0" fillId="2" borderId="4" xfId="0" applyFill="1" applyBorder="1"/>
    <xf numFmtId="0" fontId="0" fillId="2" borderId="5" xfId="0" applyFill="1" applyBorder="1"/>
    <xf numFmtId="0" fontId="0" fillId="2" borderId="6" xfId="0" applyFill="1" applyBorder="1" applyAlignment="1">
      <alignment horizontal="center"/>
    </xf>
    <xf numFmtId="0" fontId="0" fillId="2" borderId="7" xfId="0" applyFill="1" applyBorder="1"/>
    <xf numFmtId="0" fontId="0" fillId="2" borderId="8" xfId="0" applyFill="1" applyBorder="1" applyAlignment="1">
      <alignment horizontal="center"/>
    </xf>
    <xf numFmtId="0" fontId="0" fillId="2" borderId="9" xfId="0" applyFill="1" applyBorder="1"/>
    <xf numFmtId="0" fontId="0" fillId="2" borderId="10" xfId="0" applyFill="1" applyBorder="1"/>
    <xf numFmtId="0" fontId="2" fillId="2" borderId="11" xfId="0" applyFont="1" applyFill="1" applyBorder="1" applyAlignment="1">
      <alignment horizontal="center"/>
    </xf>
    <xf numFmtId="0" fontId="2" fillId="3" borderId="1" xfId="0" applyFont="1" applyFill="1" applyBorder="1" applyAlignment="1" applyProtection="1">
      <alignment horizontal="center" vertical="center" wrapText="1"/>
      <protection locked="0"/>
    </xf>
    <xf numFmtId="0" fontId="2" fillId="3" borderId="1" xfId="0" quotePrefix="1" applyFont="1" applyFill="1" applyBorder="1" applyAlignment="1" applyProtection="1">
      <alignment horizontal="center" vertical="center" wrapText="1"/>
      <protection locked="0"/>
    </xf>
    <xf numFmtId="0" fontId="0" fillId="2" borderId="1" xfId="0" applyFill="1" applyBorder="1" applyAlignment="1" applyProtection="1">
      <alignment horizontal="left" vertical="center" wrapText="1"/>
      <protection locked="0"/>
    </xf>
    <xf numFmtId="0" fontId="5" fillId="0" borderId="0" xfId="0" applyFont="1" applyAlignment="1">
      <alignment vertical="center"/>
    </xf>
    <xf numFmtId="0" fontId="6" fillId="4" borderId="1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0" fillId="4" borderId="0" xfId="0" applyFill="1"/>
    <xf numFmtId="0" fontId="7" fillId="4" borderId="1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7" fillId="4" borderId="6" xfId="0" applyFont="1" applyFill="1" applyBorder="1" applyAlignment="1" applyProtection="1">
      <alignment horizontal="center" vertical="center" wrapText="1"/>
      <protection locked="0"/>
    </xf>
    <xf numFmtId="0" fontId="7" fillId="4" borderId="7" xfId="0" applyFont="1" applyFill="1" applyBorder="1" applyAlignment="1" applyProtection="1">
      <alignment horizontal="center" vertical="center" wrapText="1"/>
      <protection locked="0"/>
    </xf>
    <xf numFmtId="0" fontId="6"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2" borderId="0" xfId="0" applyFont="1" applyFill="1" applyAlignment="1">
      <alignment vertical="center"/>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6" fillId="4" borderId="3" xfId="0" applyFont="1" applyFill="1" applyBorder="1" applyAlignment="1" applyProtection="1">
      <alignment horizontal="center" vertical="center" wrapText="1"/>
      <protection locked="0"/>
    </xf>
    <xf numFmtId="0" fontId="6" fillId="4" borderId="5" xfId="0" applyFont="1" applyFill="1" applyBorder="1" applyAlignment="1" applyProtection="1">
      <alignment horizontal="center" vertical="center" wrapText="1"/>
      <protection locked="0"/>
    </xf>
    <xf numFmtId="0" fontId="8" fillId="4" borderId="13"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cellXfs>
  <cellStyles count="1">
    <cellStyle name="Normal" xfId="0" builtinId="0"/>
  </cellStyles>
  <dxfs count="5">
    <dxf>
      <fill>
        <patternFill>
          <bgColor rgb="FFFF0000"/>
        </patternFill>
      </fill>
    </dxf>
    <dxf>
      <fill>
        <patternFill>
          <bgColor rgb="FF92D050"/>
        </patternFill>
      </fill>
    </dxf>
    <dxf>
      <fill>
        <patternFill>
          <bgColor rgb="FFFFFF00"/>
        </patternFill>
      </fill>
    </dxf>
    <dxf>
      <fill>
        <patternFill>
          <bgColor theme="0" tint="-0.14996795556505021"/>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59176770072415641"/>
          <c:y val="4.7619330247035699E-2"/>
        </c:manualLayout>
      </c:layout>
      <c:overlay val="0"/>
    </c:title>
    <c:autoTitleDeleted val="0"/>
    <c:plotArea>
      <c:layout>
        <c:manualLayout>
          <c:layoutTarget val="inner"/>
          <c:xMode val="edge"/>
          <c:yMode val="edge"/>
          <c:x val="0.57747400700708695"/>
          <c:y val="0.30932570928633951"/>
          <c:w val="0.29886366858901842"/>
          <c:h val="0.57956317960254922"/>
        </c:manualLayout>
      </c:layout>
      <c:pieChart>
        <c:varyColors val="1"/>
        <c:ser>
          <c:idx val="1"/>
          <c:order val="0"/>
          <c:tx>
            <c:strRef>
              <c:f>'Dashboard Pie Charts'!$B$6</c:f>
              <c:strCache>
                <c:ptCount val="1"/>
                <c:pt idx="0">
                  <c:v>2023</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C019-4CEA-952C-8C710EFE2E4F}"/>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C019-4CEA-952C-8C710EFE2E4F}"/>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C019-4CEA-952C-8C710EFE2E4F}"/>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C019-4CEA-952C-8C710EFE2E4F}"/>
              </c:ext>
            </c:extLst>
          </c:dPt>
          <c:cat>
            <c:strRef>
              <c:f>'Dashboard Pie Charts'!$C$5:$F$5</c:f>
              <c:strCache>
                <c:ptCount val="4"/>
                <c:pt idx="0">
                  <c:v>Excellent</c:v>
                </c:pt>
                <c:pt idx="1">
                  <c:v>Good</c:v>
                </c:pt>
                <c:pt idx="2">
                  <c:v>Opportunity</c:v>
                </c:pt>
                <c:pt idx="3">
                  <c:v>Not Answered</c:v>
                </c:pt>
              </c:strCache>
            </c:strRef>
          </c:cat>
          <c:val>
            <c:numRef>
              <c:f>'Dashboard Pie Charts'!$C$6:$F$6</c:f>
              <c:numCache>
                <c:formatCode>General</c:formatCode>
                <c:ptCount val="4"/>
                <c:pt idx="0">
                  <c:v>0</c:v>
                </c:pt>
                <c:pt idx="1">
                  <c:v>0</c:v>
                </c:pt>
                <c:pt idx="2">
                  <c:v>0</c:v>
                </c:pt>
                <c:pt idx="3">
                  <c:v>49</c:v>
                </c:pt>
              </c:numCache>
            </c:numRef>
          </c:val>
          <c:extLst>
            <c:ext xmlns:c16="http://schemas.microsoft.com/office/drawing/2014/chart" uri="{C3380CC4-5D6E-409C-BE32-E72D297353CC}">
              <c16:uniqueId val="{00000004-C019-4CEA-952C-8C710EFE2E4F}"/>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6.7472093096796637E-2"/>
          <c:y val="0.15423376726150437"/>
          <c:w val="0.40483160990418371"/>
          <c:h val="0.74131813925269385"/>
        </c:manualLayout>
      </c:layout>
      <c:overlay val="0"/>
      <c:txPr>
        <a:bodyPr/>
        <a:lstStyle/>
        <a:p>
          <a:pPr rtl="0">
            <a:defRPr sz="1200" baseline="0"/>
          </a:pPr>
          <a:endParaRPr lang="en-US"/>
        </a:p>
      </c:txPr>
    </c:legend>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5172434838"/>
          <c:y val="4.7619330247035699E-2"/>
        </c:manualLayout>
      </c:layout>
      <c:overlay val="0"/>
    </c:title>
    <c:autoTitleDeleted val="0"/>
    <c:plotArea>
      <c:layout/>
      <c:pieChart>
        <c:varyColors val="1"/>
        <c:ser>
          <c:idx val="0"/>
          <c:order val="0"/>
          <c:tx>
            <c:strRef>
              <c:f>'Dashboard Pie Charts'!$J$10</c:f>
              <c:strCache>
                <c:ptCount val="1"/>
                <c:pt idx="0">
                  <c:v>2027</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DA64-44F8-8320-7BBA9425607D}"/>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DA64-44F8-8320-7BBA9425607D}"/>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DA64-44F8-8320-7BBA9425607D}"/>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DA64-44F8-8320-7BBA9425607D}"/>
              </c:ext>
            </c:extLst>
          </c:dPt>
          <c:cat>
            <c:strRef>
              <c:f>'Dashboard Pie Charts'!$C$5:$F$5</c:f>
              <c:strCache>
                <c:ptCount val="4"/>
                <c:pt idx="0">
                  <c:v>Excellent</c:v>
                </c:pt>
                <c:pt idx="1">
                  <c:v>Good</c:v>
                </c:pt>
                <c:pt idx="2">
                  <c:v>Opportunity</c:v>
                </c:pt>
                <c:pt idx="3">
                  <c:v>Not Answered</c:v>
                </c:pt>
              </c:strCache>
            </c:strRef>
          </c:cat>
          <c:val>
            <c:numRef>
              <c:f>'Dashboard Pie Charts'!$K$10:$N$10</c:f>
              <c:numCache>
                <c:formatCode>General</c:formatCode>
                <c:ptCount val="4"/>
                <c:pt idx="0">
                  <c:v>0</c:v>
                </c:pt>
                <c:pt idx="1">
                  <c:v>0</c:v>
                </c:pt>
                <c:pt idx="2">
                  <c:v>0</c:v>
                </c:pt>
                <c:pt idx="3">
                  <c:v>47</c:v>
                </c:pt>
              </c:numCache>
            </c:numRef>
          </c:val>
          <c:extLst>
            <c:ext xmlns:c16="http://schemas.microsoft.com/office/drawing/2014/chart" uri="{C3380CC4-5D6E-409C-BE32-E72D297353CC}">
              <c16:uniqueId val="{00000004-DA64-44F8-8320-7BBA9425607D}"/>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60813806788644165"/>
          <c:y val="5.5555335733787042E-2"/>
        </c:manualLayout>
      </c:layout>
      <c:overlay val="0"/>
    </c:title>
    <c:autoTitleDeleted val="0"/>
    <c:plotArea>
      <c:layout>
        <c:manualLayout>
          <c:layoutTarget val="inner"/>
          <c:xMode val="edge"/>
          <c:yMode val="edge"/>
          <c:x val="0.58565925396952312"/>
          <c:y val="0.33313523309586335"/>
          <c:w val="0.29886366858901842"/>
          <c:h val="0.57956317960254922"/>
        </c:manualLayout>
      </c:layout>
      <c:pieChart>
        <c:varyColors val="1"/>
        <c:ser>
          <c:idx val="1"/>
          <c:order val="0"/>
          <c:tx>
            <c:strRef>
              <c:f>'Dashboard Pie Charts'!$Q$6</c:f>
              <c:strCache>
                <c:ptCount val="1"/>
                <c:pt idx="0">
                  <c:v>2023</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74BA-4EF7-8977-1FA757C4C30D}"/>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74BA-4EF7-8977-1FA757C4C30D}"/>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74BA-4EF7-8977-1FA757C4C30D}"/>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74BA-4EF7-8977-1FA757C4C30D}"/>
              </c:ext>
            </c:extLst>
          </c:dPt>
          <c:cat>
            <c:strRef>
              <c:f>'Dashboard Pie Charts'!$R$5:$U$5</c:f>
              <c:strCache>
                <c:ptCount val="4"/>
                <c:pt idx="0">
                  <c:v>Always</c:v>
                </c:pt>
                <c:pt idx="1">
                  <c:v>Sometimes</c:v>
                </c:pt>
                <c:pt idx="2">
                  <c:v>Never</c:v>
                </c:pt>
                <c:pt idx="3">
                  <c:v>Not Answered</c:v>
                </c:pt>
              </c:strCache>
            </c:strRef>
          </c:cat>
          <c:val>
            <c:numRef>
              <c:f>'Dashboard Pie Charts'!$R$6:$U$6</c:f>
              <c:numCache>
                <c:formatCode>General</c:formatCode>
                <c:ptCount val="4"/>
                <c:pt idx="0">
                  <c:v>0</c:v>
                </c:pt>
                <c:pt idx="1">
                  <c:v>0</c:v>
                </c:pt>
                <c:pt idx="2">
                  <c:v>0</c:v>
                </c:pt>
                <c:pt idx="3">
                  <c:v>18</c:v>
                </c:pt>
              </c:numCache>
            </c:numRef>
          </c:val>
          <c:extLst>
            <c:ext xmlns:c16="http://schemas.microsoft.com/office/drawing/2014/chart" uri="{C3380CC4-5D6E-409C-BE32-E72D297353CC}">
              <c16:uniqueId val="{00000004-74BA-4EF7-8977-1FA757C4C30D}"/>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5.5423370991669517E-2"/>
          <c:y val="0.23383848375736951"/>
          <c:w val="0.40483155185311981"/>
          <c:h val="0.74131813925269385"/>
        </c:manualLayout>
      </c:layout>
      <c:overlay val="0"/>
      <c:txPr>
        <a:bodyPr/>
        <a:lstStyle/>
        <a:p>
          <a:pPr rtl="0">
            <a:defRPr sz="1200" baseline="0"/>
          </a:pPr>
          <a:endParaRPr lang="en-US"/>
        </a:p>
      </c:txPr>
    </c:legend>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1234442472"/>
          <c:y val="4.7619330247035699E-2"/>
        </c:manualLayout>
      </c:layout>
      <c:overlay val="0"/>
    </c:title>
    <c:autoTitleDeleted val="0"/>
    <c:plotArea>
      <c:layout/>
      <c:pieChart>
        <c:varyColors val="1"/>
        <c:ser>
          <c:idx val="0"/>
          <c:order val="0"/>
          <c:tx>
            <c:strRef>
              <c:f>'Dashboard Pie Charts'!$Q$7</c:f>
              <c:strCache>
                <c:ptCount val="1"/>
                <c:pt idx="0">
                  <c:v>2024</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00C2-41BE-B304-96DE6BA5D77F}"/>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00C2-41BE-B304-96DE6BA5D77F}"/>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00C2-41BE-B304-96DE6BA5D77F}"/>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00C2-41BE-B304-96DE6BA5D77F}"/>
              </c:ext>
            </c:extLst>
          </c:dPt>
          <c:cat>
            <c:strRef>
              <c:f>'Dashboard Pie Charts'!$K$5:$N$5</c:f>
              <c:strCache>
                <c:ptCount val="4"/>
                <c:pt idx="0">
                  <c:v>Always</c:v>
                </c:pt>
                <c:pt idx="1">
                  <c:v>Sometimes</c:v>
                </c:pt>
                <c:pt idx="2">
                  <c:v>Never</c:v>
                </c:pt>
                <c:pt idx="3">
                  <c:v>Not Answered</c:v>
                </c:pt>
              </c:strCache>
            </c:strRef>
          </c:cat>
          <c:val>
            <c:numRef>
              <c:f>'Dashboard Pie Charts'!$R$7:$U$7</c:f>
              <c:numCache>
                <c:formatCode>General</c:formatCode>
                <c:ptCount val="4"/>
                <c:pt idx="0">
                  <c:v>0</c:v>
                </c:pt>
                <c:pt idx="1">
                  <c:v>0</c:v>
                </c:pt>
                <c:pt idx="2">
                  <c:v>0</c:v>
                </c:pt>
                <c:pt idx="3">
                  <c:v>18</c:v>
                </c:pt>
              </c:numCache>
            </c:numRef>
          </c:val>
          <c:extLst>
            <c:ext xmlns:c16="http://schemas.microsoft.com/office/drawing/2014/chart" uri="{C3380CC4-5D6E-409C-BE32-E72D297353CC}">
              <c16:uniqueId val="{00000004-00C2-41BE-B304-96DE6BA5D77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5172434838"/>
          <c:y val="4.7619330247035699E-2"/>
        </c:manualLayout>
      </c:layout>
      <c:overlay val="0"/>
    </c:title>
    <c:autoTitleDeleted val="0"/>
    <c:plotArea>
      <c:layout/>
      <c:pieChart>
        <c:varyColors val="1"/>
        <c:ser>
          <c:idx val="0"/>
          <c:order val="0"/>
          <c:tx>
            <c:strRef>
              <c:f>'Dashboard Pie Charts'!$Q$8</c:f>
              <c:strCache>
                <c:ptCount val="1"/>
                <c:pt idx="0">
                  <c:v>2025</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98AA-487C-94D8-BC6143A16FBF}"/>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98AA-487C-94D8-BC6143A16FBF}"/>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98AA-487C-94D8-BC6143A16FBF}"/>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98AA-487C-94D8-BC6143A16FBF}"/>
              </c:ext>
            </c:extLst>
          </c:dPt>
          <c:cat>
            <c:strRef>
              <c:f>'Dashboard Pie Charts'!$C$5:$F$5</c:f>
              <c:strCache>
                <c:ptCount val="4"/>
                <c:pt idx="0">
                  <c:v>Excellent</c:v>
                </c:pt>
                <c:pt idx="1">
                  <c:v>Good</c:v>
                </c:pt>
                <c:pt idx="2">
                  <c:v>Opportunity</c:v>
                </c:pt>
                <c:pt idx="3">
                  <c:v>Not Answered</c:v>
                </c:pt>
              </c:strCache>
            </c:strRef>
          </c:cat>
          <c:val>
            <c:numRef>
              <c:f>'Dashboard Pie Charts'!$R$8:$U$8</c:f>
              <c:numCache>
                <c:formatCode>General</c:formatCode>
                <c:ptCount val="4"/>
                <c:pt idx="0">
                  <c:v>0</c:v>
                </c:pt>
                <c:pt idx="1">
                  <c:v>0</c:v>
                </c:pt>
                <c:pt idx="2">
                  <c:v>0</c:v>
                </c:pt>
                <c:pt idx="3">
                  <c:v>18</c:v>
                </c:pt>
              </c:numCache>
            </c:numRef>
          </c:val>
          <c:extLst>
            <c:ext xmlns:c16="http://schemas.microsoft.com/office/drawing/2014/chart" uri="{C3380CC4-5D6E-409C-BE32-E72D297353CC}">
              <c16:uniqueId val="{00000004-98AA-487C-94D8-BC6143A16FB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7169033774"/>
          <c:y val="4.7619330247035699E-2"/>
        </c:manualLayout>
      </c:layout>
      <c:overlay val="0"/>
    </c:title>
    <c:autoTitleDeleted val="0"/>
    <c:plotArea>
      <c:layout/>
      <c:pieChart>
        <c:varyColors val="1"/>
        <c:ser>
          <c:idx val="0"/>
          <c:order val="0"/>
          <c:tx>
            <c:strRef>
              <c:f>'Dashboard Pie Charts'!$Q$9</c:f>
              <c:strCache>
                <c:ptCount val="1"/>
                <c:pt idx="0">
                  <c:v>2026</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EBCE-4979-A42F-882D4FF3BE51}"/>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EBCE-4979-A42F-882D4FF3BE51}"/>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EBCE-4979-A42F-882D4FF3BE51}"/>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EBCE-4979-A42F-882D4FF3BE51}"/>
              </c:ext>
            </c:extLst>
          </c:dPt>
          <c:cat>
            <c:strRef>
              <c:f>'Dashboard Pie Charts'!$C$5:$F$5</c:f>
              <c:strCache>
                <c:ptCount val="4"/>
                <c:pt idx="0">
                  <c:v>Excellent</c:v>
                </c:pt>
                <c:pt idx="1">
                  <c:v>Good</c:v>
                </c:pt>
                <c:pt idx="2">
                  <c:v>Opportunity</c:v>
                </c:pt>
                <c:pt idx="3">
                  <c:v>Not Answered</c:v>
                </c:pt>
              </c:strCache>
            </c:strRef>
          </c:cat>
          <c:val>
            <c:numRef>
              <c:f>'Dashboard Pie Charts'!$R$9:$U$9</c:f>
              <c:numCache>
                <c:formatCode>General</c:formatCode>
                <c:ptCount val="4"/>
                <c:pt idx="0">
                  <c:v>0</c:v>
                </c:pt>
                <c:pt idx="1">
                  <c:v>0</c:v>
                </c:pt>
                <c:pt idx="2">
                  <c:v>0</c:v>
                </c:pt>
                <c:pt idx="3">
                  <c:v>18</c:v>
                </c:pt>
              </c:numCache>
            </c:numRef>
          </c:val>
          <c:extLst>
            <c:ext xmlns:c16="http://schemas.microsoft.com/office/drawing/2014/chart" uri="{C3380CC4-5D6E-409C-BE32-E72D297353CC}">
              <c16:uniqueId val="{00000004-EBCE-4979-A42F-882D4FF3BE5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5172434838"/>
          <c:y val="4.7619330247035699E-2"/>
        </c:manualLayout>
      </c:layout>
      <c:overlay val="0"/>
    </c:title>
    <c:autoTitleDeleted val="0"/>
    <c:plotArea>
      <c:layout/>
      <c:pieChart>
        <c:varyColors val="1"/>
        <c:ser>
          <c:idx val="0"/>
          <c:order val="0"/>
          <c:tx>
            <c:strRef>
              <c:f>'Dashboard Pie Charts'!$Q$10</c:f>
              <c:strCache>
                <c:ptCount val="1"/>
                <c:pt idx="0">
                  <c:v>2027</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BDD7-4415-B9A1-1FA3C0149A69}"/>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BDD7-4415-B9A1-1FA3C0149A69}"/>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BDD7-4415-B9A1-1FA3C0149A69}"/>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BDD7-4415-B9A1-1FA3C0149A69}"/>
              </c:ext>
            </c:extLst>
          </c:dPt>
          <c:cat>
            <c:strRef>
              <c:f>'Dashboard Pie Charts'!$C$5:$F$5</c:f>
              <c:strCache>
                <c:ptCount val="4"/>
                <c:pt idx="0">
                  <c:v>Excellent</c:v>
                </c:pt>
                <c:pt idx="1">
                  <c:v>Good</c:v>
                </c:pt>
                <c:pt idx="2">
                  <c:v>Opportunity</c:v>
                </c:pt>
                <c:pt idx="3">
                  <c:v>Not Answered</c:v>
                </c:pt>
              </c:strCache>
            </c:strRef>
          </c:cat>
          <c:val>
            <c:numRef>
              <c:f>'Dashboard Pie Charts'!$R$10:$U$10</c:f>
              <c:numCache>
                <c:formatCode>General</c:formatCode>
                <c:ptCount val="4"/>
                <c:pt idx="0">
                  <c:v>0</c:v>
                </c:pt>
                <c:pt idx="1">
                  <c:v>0</c:v>
                </c:pt>
                <c:pt idx="2">
                  <c:v>0</c:v>
                </c:pt>
                <c:pt idx="3">
                  <c:v>18</c:v>
                </c:pt>
              </c:numCache>
            </c:numRef>
          </c:val>
          <c:extLst>
            <c:ext xmlns:c16="http://schemas.microsoft.com/office/drawing/2014/chart" uri="{C3380CC4-5D6E-409C-BE32-E72D297353CC}">
              <c16:uniqueId val="{00000004-BDD7-4415-B9A1-1FA3C0149A6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9184380119"/>
          <c:y val="4.7619330247035699E-2"/>
        </c:manualLayout>
      </c:layout>
      <c:overlay val="0"/>
    </c:title>
    <c:autoTitleDeleted val="0"/>
    <c:plotArea>
      <c:layout/>
      <c:pieChart>
        <c:varyColors val="1"/>
        <c:ser>
          <c:idx val="0"/>
          <c:order val="0"/>
          <c:tx>
            <c:strRef>
              <c:f>'Dashboard Pie Charts'!$B$33</c:f>
              <c:strCache>
                <c:ptCount val="1"/>
                <c:pt idx="0">
                  <c:v>2024</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734B-4EB4-9045-F823CAAD80F1}"/>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734B-4EB4-9045-F823CAAD80F1}"/>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734B-4EB4-9045-F823CAAD80F1}"/>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734B-4EB4-9045-F823CAAD80F1}"/>
              </c:ext>
            </c:extLst>
          </c:dPt>
          <c:cat>
            <c:strRef>
              <c:f>'Dashboard Pie Charts'!$K$5:$N$5</c:f>
              <c:strCache>
                <c:ptCount val="4"/>
                <c:pt idx="0">
                  <c:v>Always</c:v>
                </c:pt>
                <c:pt idx="1">
                  <c:v>Sometimes</c:v>
                </c:pt>
                <c:pt idx="2">
                  <c:v>Never</c:v>
                </c:pt>
                <c:pt idx="3">
                  <c:v>Not Answered</c:v>
                </c:pt>
              </c:strCache>
            </c:strRef>
          </c:cat>
          <c:val>
            <c:numRef>
              <c:f>'Dashboard Pie Charts'!$C$33:$F$33</c:f>
              <c:numCache>
                <c:formatCode>General</c:formatCode>
                <c:ptCount val="4"/>
                <c:pt idx="0">
                  <c:v>0</c:v>
                </c:pt>
                <c:pt idx="1">
                  <c:v>0</c:v>
                </c:pt>
                <c:pt idx="2">
                  <c:v>0</c:v>
                </c:pt>
                <c:pt idx="3">
                  <c:v>15</c:v>
                </c:pt>
              </c:numCache>
            </c:numRef>
          </c:val>
          <c:extLst>
            <c:ext xmlns:c16="http://schemas.microsoft.com/office/drawing/2014/chart" uri="{C3380CC4-5D6E-409C-BE32-E72D297353CC}">
              <c16:uniqueId val="{00000004-734B-4EB4-9045-F823CAAD80F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5172434838"/>
          <c:y val="4.7618766404199472E-2"/>
        </c:manualLayout>
      </c:layout>
      <c:overlay val="0"/>
    </c:title>
    <c:autoTitleDeleted val="0"/>
    <c:plotArea>
      <c:layout/>
      <c:pieChart>
        <c:varyColors val="1"/>
        <c:ser>
          <c:idx val="0"/>
          <c:order val="0"/>
          <c:tx>
            <c:strRef>
              <c:f>'Dashboard Pie Charts'!$B$34</c:f>
              <c:strCache>
                <c:ptCount val="1"/>
                <c:pt idx="0">
                  <c:v>2025</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E40F-45DC-967E-50F5C374C547}"/>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E40F-45DC-967E-50F5C374C547}"/>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E40F-45DC-967E-50F5C374C547}"/>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E40F-45DC-967E-50F5C374C547}"/>
              </c:ext>
            </c:extLst>
          </c:dPt>
          <c:cat>
            <c:strRef>
              <c:f>'Dashboard Pie Charts'!$C$5:$F$5</c:f>
              <c:strCache>
                <c:ptCount val="4"/>
                <c:pt idx="0">
                  <c:v>Excellent</c:v>
                </c:pt>
                <c:pt idx="1">
                  <c:v>Good</c:v>
                </c:pt>
                <c:pt idx="2">
                  <c:v>Opportunity</c:v>
                </c:pt>
                <c:pt idx="3">
                  <c:v>Not Answered</c:v>
                </c:pt>
              </c:strCache>
            </c:strRef>
          </c:cat>
          <c:val>
            <c:numRef>
              <c:f>'Dashboard Pie Charts'!$C$34:$F$34</c:f>
              <c:numCache>
                <c:formatCode>General</c:formatCode>
                <c:ptCount val="4"/>
                <c:pt idx="0">
                  <c:v>0</c:v>
                </c:pt>
                <c:pt idx="1">
                  <c:v>0</c:v>
                </c:pt>
                <c:pt idx="2">
                  <c:v>0</c:v>
                </c:pt>
                <c:pt idx="3">
                  <c:v>15</c:v>
                </c:pt>
              </c:numCache>
            </c:numRef>
          </c:val>
          <c:extLst>
            <c:ext xmlns:c16="http://schemas.microsoft.com/office/drawing/2014/chart" uri="{C3380CC4-5D6E-409C-BE32-E72D297353CC}">
              <c16:uniqueId val="{00000004-E40F-45DC-967E-50F5C374C54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5172434838"/>
          <c:y val="4.7619330247035699E-2"/>
        </c:manualLayout>
      </c:layout>
      <c:overlay val="0"/>
    </c:title>
    <c:autoTitleDeleted val="0"/>
    <c:plotArea>
      <c:layout/>
      <c:pieChart>
        <c:varyColors val="1"/>
        <c:ser>
          <c:idx val="0"/>
          <c:order val="0"/>
          <c:tx>
            <c:strRef>
              <c:f>'Dashboard Pie Charts'!$B$35</c:f>
              <c:strCache>
                <c:ptCount val="1"/>
                <c:pt idx="0">
                  <c:v>2026</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AEBE-442A-869C-46AD39144828}"/>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AEBE-442A-869C-46AD39144828}"/>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AEBE-442A-869C-46AD39144828}"/>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AEBE-442A-869C-46AD39144828}"/>
              </c:ext>
            </c:extLst>
          </c:dPt>
          <c:cat>
            <c:strRef>
              <c:f>'Dashboard Pie Charts'!$C$5:$F$5</c:f>
              <c:strCache>
                <c:ptCount val="4"/>
                <c:pt idx="0">
                  <c:v>Excellent</c:v>
                </c:pt>
                <c:pt idx="1">
                  <c:v>Good</c:v>
                </c:pt>
                <c:pt idx="2">
                  <c:v>Opportunity</c:v>
                </c:pt>
                <c:pt idx="3">
                  <c:v>Not Answered</c:v>
                </c:pt>
              </c:strCache>
            </c:strRef>
          </c:cat>
          <c:val>
            <c:numRef>
              <c:f>'Dashboard Pie Charts'!$C$35:$F$35</c:f>
              <c:numCache>
                <c:formatCode>General</c:formatCode>
                <c:ptCount val="4"/>
                <c:pt idx="0">
                  <c:v>0</c:v>
                </c:pt>
                <c:pt idx="1">
                  <c:v>0</c:v>
                </c:pt>
                <c:pt idx="2">
                  <c:v>0</c:v>
                </c:pt>
                <c:pt idx="3">
                  <c:v>15</c:v>
                </c:pt>
              </c:numCache>
            </c:numRef>
          </c:val>
          <c:extLst>
            <c:ext xmlns:c16="http://schemas.microsoft.com/office/drawing/2014/chart" uri="{C3380CC4-5D6E-409C-BE32-E72D297353CC}">
              <c16:uniqueId val="{00000004-AEBE-442A-869C-46AD39144828}"/>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7169033774"/>
          <c:y val="4.7619330247035699E-2"/>
        </c:manualLayout>
      </c:layout>
      <c:overlay val="0"/>
    </c:title>
    <c:autoTitleDeleted val="0"/>
    <c:plotArea>
      <c:layout/>
      <c:pieChart>
        <c:varyColors val="1"/>
        <c:ser>
          <c:idx val="0"/>
          <c:order val="0"/>
          <c:tx>
            <c:strRef>
              <c:f>'Dashboard Pie Charts'!$B$36</c:f>
              <c:strCache>
                <c:ptCount val="1"/>
                <c:pt idx="0">
                  <c:v>2027</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09CB-49B4-9CBF-08ED0980D93C}"/>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09CB-49B4-9CBF-08ED0980D93C}"/>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09CB-49B4-9CBF-08ED0980D93C}"/>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09CB-49B4-9CBF-08ED0980D93C}"/>
              </c:ext>
            </c:extLst>
          </c:dPt>
          <c:cat>
            <c:strRef>
              <c:f>'Dashboard Pie Charts'!$C$5:$F$5</c:f>
              <c:strCache>
                <c:ptCount val="4"/>
                <c:pt idx="0">
                  <c:v>Excellent</c:v>
                </c:pt>
                <c:pt idx="1">
                  <c:v>Good</c:v>
                </c:pt>
                <c:pt idx="2">
                  <c:v>Opportunity</c:v>
                </c:pt>
                <c:pt idx="3">
                  <c:v>Not Answered</c:v>
                </c:pt>
              </c:strCache>
            </c:strRef>
          </c:cat>
          <c:val>
            <c:numRef>
              <c:f>'Dashboard Pie Charts'!$C$36:$F$36</c:f>
              <c:numCache>
                <c:formatCode>General</c:formatCode>
                <c:ptCount val="4"/>
                <c:pt idx="0">
                  <c:v>0</c:v>
                </c:pt>
                <c:pt idx="1">
                  <c:v>0</c:v>
                </c:pt>
                <c:pt idx="2">
                  <c:v>0</c:v>
                </c:pt>
                <c:pt idx="3">
                  <c:v>15</c:v>
                </c:pt>
              </c:numCache>
            </c:numRef>
          </c:val>
          <c:extLst>
            <c:ext xmlns:c16="http://schemas.microsoft.com/office/drawing/2014/chart" uri="{C3380CC4-5D6E-409C-BE32-E72D297353CC}">
              <c16:uniqueId val="{00000004-09CB-49B4-9CBF-08ED0980D93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9184380119"/>
          <c:y val="4.7619330247035699E-2"/>
        </c:manualLayout>
      </c:layout>
      <c:overlay val="0"/>
    </c:title>
    <c:autoTitleDeleted val="0"/>
    <c:plotArea>
      <c:layout/>
      <c:pieChart>
        <c:varyColors val="1"/>
        <c:ser>
          <c:idx val="0"/>
          <c:order val="0"/>
          <c:tx>
            <c:strRef>
              <c:f>'Dashboard Pie Charts'!$B$7</c:f>
              <c:strCache>
                <c:ptCount val="1"/>
                <c:pt idx="0">
                  <c:v>2024</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A23A-4B83-9D4A-1CD7DF9E0832}"/>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A23A-4B83-9D4A-1CD7DF9E0832}"/>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A23A-4B83-9D4A-1CD7DF9E0832}"/>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A23A-4B83-9D4A-1CD7DF9E0832}"/>
              </c:ext>
            </c:extLst>
          </c:dPt>
          <c:cat>
            <c:strRef>
              <c:f>'Dashboard Pie Charts'!$C$5:$F$5</c:f>
              <c:strCache>
                <c:ptCount val="4"/>
                <c:pt idx="0">
                  <c:v>Excellent</c:v>
                </c:pt>
                <c:pt idx="1">
                  <c:v>Good</c:v>
                </c:pt>
                <c:pt idx="2">
                  <c:v>Opportunity</c:v>
                </c:pt>
                <c:pt idx="3">
                  <c:v>Not Answered</c:v>
                </c:pt>
              </c:strCache>
            </c:strRef>
          </c:cat>
          <c:val>
            <c:numRef>
              <c:f>'Dashboard Pie Charts'!$C$7:$F$7</c:f>
              <c:numCache>
                <c:formatCode>General</c:formatCode>
                <c:ptCount val="4"/>
                <c:pt idx="0">
                  <c:v>0</c:v>
                </c:pt>
                <c:pt idx="1">
                  <c:v>0</c:v>
                </c:pt>
                <c:pt idx="2">
                  <c:v>0</c:v>
                </c:pt>
                <c:pt idx="3">
                  <c:v>49</c:v>
                </c:pt>
              </c:numCache>
            </c:numRef>
          </c:val>
          <c:extLst>
            <c:ext xmlns:c16="http://schemas.microsoft.com/office/drawing/2014/chart" uri="{C3380CC4-5D6E-409C-BE32-E72D297353CC}">
              <c16:uniqueId val="{00000004-A23A-4B83-9D4A-1CD7DF9E083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60813807172408529"/>
          <c:y val="4.7618766404199472E-2"/>
        </c:manualLayout>
      </c:layout>
      <c:overlay val="0"/>
    </c:title>
    <c:autoTitleDeleted val="0"/>
    <c:plotArea>
      <c:layout>
        <c:manualLayout>
          <c:layoutTarget val="inner"/>
          <c:xMode val="edge"/>
          <c:yMode val="edge"/>
          <c:x val="0.58765354996530861"/>
          <c:y val="0.33313523309586335"/>
          <c:w val="0.29886376489900773"/>
          <c:h val="0.57956317960254922"/>
        </c:manualLayout>
      </c:layout>
      <c:pieChart>
        <c:varyColors val="1"/>
        <c:ser>
          <c:idx val="1"/>
          <c:order val="0"/>
          <c:tx>
            <c:strRef>
              <c:f>'Dashboard Pie Charts'!$J$32</c:f>
              <c:strCache>
                <c:ptCount val="1"/>
                <c:pt idx="0">
                  <c:v>2023</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AB3D-4686-9448-08FC57B30B54}"/>
              </c:ext>
            </c:extLst>
          </c:dPt>
          <c:dPt>
            <c:idx val="1"/>
            <c:bubble3D val="0"/>
            <c:spPr>
              <a:solidFill>
                <a:schemeClr val="bg1"/>
              </a:solidFill>
              <a:ln>
                <a:solidFill>
                  <a:schemeClr val="accent1"/>
                </a:solidFill>
              </a:ln>
            </c:spPr>
            <c:extLst>
              <c:ext xmlns:c16="http://schemas.microsoft.com/office/drawing/2014/chart" uri="{C3380CC4-5D6E-409C-BE32-E72D297353CC}">
                <c16:uniqueId val="{00000001-AB3D-4686-9448-08FC57B30B54}"/>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AB3D-4686-9448-08FC57B30B54}"/>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AB3D-4686-9448-08FC57B30B54}"/>
              </c:ext>
            </c:extLst>
          </c:dPt>
          <c:cat>
            <c:strRef>
              <c:f>'Dashboard Pie Charts'!$K$31:$N$31</c:f>
              <c:strCache>
                <c:ptCount val="4"/>
                <c:pt idx="0">
                  <c:v>Yes</c:v>
                </c:pt>
                <c:pt idx="2">
                  <c:v>No</c:v>
                </c:pt>
                <c:pt idx="3">
                  <c:v>Not Answered</c:v>
                </c:pt>
              </c:strCache>
            </c:strRef>
          </c:cat>
          <c:val>
            <c:numRef>
              <c:f>'Dashboard Pie Charts'!$K$32:$N$32</c:f>
              <c:numCache>
                <c:formatCode>General</c:formatCode>
                <c:ptCount val="4"/>
                <c:pt idx="0">
                  <c:v>0</c:v>
                </c:pt>
                <c:pt idx="2">
                  <c:v>0</c:v>
                </c:pt>
                <c:pt idx="3">
                  <c:v>21</c:v>
                </c:pt>
              </c:numCache>
            </c:numRef>
          </c:val>
          <c:extLst>
            <c:ext xmlns:c16="http://schemas.microsoft.com/office/drawing/2014/chart" uri="{C3380CC4-5D6E-409C-BE32-E72D297353CC}">
              <c16:uniqueId val="{00000004-AB3D-4686-9448-08FC57B30B54}"/>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6.280401390504152E-2"/>
          <c:y val="0.22773031496062993"/>
          <c:w val="0.40581113801452784"/>
          <c:h val="0.73764895013123366"/>
        </c:manualLayout>
      </c:layout>
      <c:overlay val="0"/>
      <c:txPr>
        <a:bodyPr/>
        <a:lstStyle/>
        <a:p>
          <a:pPr rtl="0">
            <a:defRPr sz="1200" baseline="0"/>
          </a:pPr>
          <a:endParaRPr lang="en-US"/>
        </a:p>
      </c:txPr>
    </c:legend>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1234442472"/>
          <c:y val="4.7618766404199472E-2"/>
        </c:manualLayout>
      </c:layout>
      <c:overlay val="0"/>
    </c:title>
    <c:autoTitleDeleted val="0"/>
    <c:plotArea>
      <c:layout/>
      <c:pieChart>
        <c:varyColors val="1"/>
        <c:ser>
          <c:idx val="0"/>
          <c:order val="0"/>
          <c:tx>
            <c:strRef>
              <c:f>'Dashboard Pie Charts'!$J$33</c:f>
              <c:strCache>
                <c:ptCount val="1"/>
                <c:pt idx="0">
                  <c:v>2024</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93D0-4A7B-8EF7-0C1A5830B22D}"/>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93D0-4A7B-8EF7-0C1A5830B22D}"/>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93D0-4A7B-8EF7-0C1A5830B22D}"/>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93D0-4A7B-8EF7-0C1A5830B22D}"/>
              </c:ext>
            </c:extLst>
          </c:dPt>
          <c:cat>
            <c:strRef>
              <c:f>'Dashboard Pie Charts'!$K$5:$N$5</c:f>
              <c:strCache>
                <c:ptCount val="4"/>
                <c:pt idx="0">
                  <c:v>Always</c:v>
                </c:pt>
                <c:pt idx="1">
                  <c:v>Sometimes</c:v>
                </c:pt>
                <c:pt idx="2">
                  <c:v>Never</c:v>
                </c:pt>
                <c:pt idx="3">
                  <c:v>Not Answered</c:v>
                </c:pt>
              </c:strCache>
            </c:strRef>
          </c:cat>
          <c:val>
            <c:numRef>
              <c:f>'Dashboard Pie Charts'!$K$33:$N$33</c:f>
              <c:numCache>
                <c:formatCode>General</c:formatCode>
                <c:ptCount val="4"/>
                <c:pt idx="0">
                  <c:v>0</c:v>
                </c:pt>
                <c:pt idx="2">
                  <c:v>0</c:v>
                </c:pt>
                <c:pt idx="3">
                  <c:v>21</c:v>
                </c:pt>
              </c:numCache>
            </c:numRef>
          </c:val>
          <c:extLst>
            <c:ext xmlns:c16="http://schemas.microsoft.com/office/drawing/2014/chart" uri="{C3380CC4-5D6E-409C-BE32-E72D297353CC}">
              <c16:uniqueId val="{00000004-93D0-4A7B-8EF7-0C1A5830B22D}"/>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7169033774"/>
          <c:y val="4.7618766404199472E-2"/>
        </c:manualLayout>
      </c:layout>
      <c:overlay val="0"/>
    </c:title>
    <c:autoTitleDeleted val="0"/>
    <c:plotArea>
      <c:layout/>
      <c:pieChart>
        <c:varyColors val="1"/>
        <c:ser>
          <c:idx val="0"/>
          <c:order val="0"/>
          <c:tx>
            <c:strRef>
              <c:f>'Dashboard Pie Charts'!$J$34</c:f>
              <c:strCache>
                <c:ptCount val="1"/>
                <c:pt idx="0">
                  <c:v>2025</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92AA-4E4B-8321-8A701CDA7FDF}"/>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92AA-4E4B-8321-8A701CDA7FDF}"/>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92AA-4E4B-8321-8A701CDA7FDF}"/>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92AA-4E4B-8321-8A701CDA7FDF}"/>
              </c:ext>
            </c:extLst>
          </c:dPt>
          <c:cat>
            <c:strRef>
              <c:f>'Dashboard Pie Charts'!$C$5:$F$5</c:f>
              <c:strCache>
                <c:ptCount val="4"/>
                <c:pt idx="0">
                  <c:v>Excellent</c:v>
                </c:pt>
                <c:pt idx="1">
                  <c:v>Good</c:v>
                </c:pt>
                <c:pt idx="2">
                  <c:v>Opportunity</c:v>
                </c:pt>
                <c:pt idx="3">
                  <c:v>Not Answered</c:v>
                </c:pt>
              </c:strCache>
            </c:strRef>
          </c:cat>
          <c:val>
            <c:numRef>
              <c:f>'Dashboard Pie Charts'!$K$34:$N$34</c:f>
              <c:numCache>
                <c:formatCode>General</c:formatCode>
                <c:ptCount val="4"/>
                <c:pt idx="0">
                  <c:v>0</c:v>
                </c:pt>
                <c:pt idx="2">
                  <c:v>0</c:v>
                </c:pt>
                <c:pt idx="3">
                  <c:v>21</c:v>
                </c:pt>
              </c:numCache>
            </c:numRef>
          </c:val>
          <c:extLst>
            <c:ext xmlns:c16="http://schemas.microsoft.com/office/drawing/2014/chart" uri="{C3380CC4-5D6E-409C-BE32-E72D297353CC}">
              <c16:uniqueId val="{00000004-92AA-4E4B-8321-8A701CDA7FD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5172434838"/>
          <c:y val="4.7619330247035699E-2"/>
        </c:manualLayout>
      </c:layout>
      <c:overlay val="0"/>
    </c:title>
    <c:autoTitleDeleted val="0"/>
    <c:plotArea>
      <c:layout/>
      <c:pieChart>
        <c:varyColors val="1"/>
        <c:ser>
          <c:idx val="0"/>
          <c:order val="0"/>
          <c:tx>
            <c:strRef>
              <c:f>'Dashboard Pie Charts'!$J$35</c:f>
              <c:strCache>
                <c:ptCount val="1"/>
                <c:pt idx="0">
                  <c:v>2026</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92E6-40FA-AF0C-FDB9DD3EFF43}"/>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92E6-40FA-AF0C-FDB9DD3EFF43}"/>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92E6-40FA-AF0C-FDB9DD3EFF43}"/>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92E6-40FA-AF0C-FDB9DD3EFF43}"/>
              </c:ext>
            </c:extLst>
          </c:dPt>
          <c:cat>
            <c:strRef>
              <c:f>'Dashboard Pie Charts'!$C$5:$F$5</c:f>
              <c:strCache>
                <c:ptCount val="4"/>
                <c:pt idx="0">
                  <c:v>Excellent</c:v>
                </c:pt>
                <c:pt idx="1">
                  <c:v>Good</c:v>
                </c:pt>
                <c:pt idx="2">
                  <c:v>Opportunity</c:v>
                </c:pt>
                <c:pt idx="3">
                  <c:v>Not Answered</c:v>
                </c:pt>
              </c:strCache>
            </c:strRef>
          </c:cat>
          <c:val>
            <c:numRef>
              <c:f>'Dashboard Pie Charts'!$K$35:$N$35</c:f>
              <c:numCache>
                <c:formatCode>General</c:formatCode>
                <c:ptCount val="4"/>
                <c:pt idx="0">
                  <c:v>0</c:v>
                </c:pt>
                <c:pt idx="2">
                  <c:v>0</c:v>
                </c:pt>
                <c:pt idx="3">
                  <c:v>21</c:v>
                </c:pt>
              </c:numCache>
            </c:numRef>
          </c:val>
          <c:extLst>
            <c:ext xmlns:c16="http://schemas.microsoft.com/office/drawing/2014/chart" uri="{C3380CC4-5D6E-409C-BE32-E72D297353CC}">
              <c16:uniqueId val="{00000004-92E6-40FA-AF0C-FDB9DD3EFF4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5172434838"/>
          <c:y val="4.7619330247035699E-2"/>
        </c:manualLayout>
      </c:layout>
      <c:overlay val="0"/>
    </c:title>
    <c:autoTitleDeleted val="0"/>
    <c:plotArea>
      <c:layout/>
      <c:pieChart>
        <c:varyColors val="1"/>
        <c:ser>
          <c:idx val="0"/>
          <c:order val="0"/>
          <c:tx>
            <c:strRef>
              <c:f>'Dashboard Pie Charts'!$J$36</c:f>
              <c:strCache>
                <c:ptCount val="1"/>
                <c:pt idx="0">
                  <c:v>2027</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85ED-414A-82AC-AA3ED55EE10C}"/>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85ED-414A-82AC-AA3ED55EE10C}"/>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85ED-414A-82AC-AA3ED55EE10C}"/>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85ED-414A-82AC-AA3ED55EE10C}"/>
              </c:ext>
            </c:extLst>
          </c:dPt>
          <c:cat>
            <c:strRef>
              <c:f>'Dashboard Pie Charts'!$C$5:$F$5</c:f>
              <c:strCache>
                <c:ptCount val="4"/>
                <c:pt idx="0">
                  <c:v>Excellent</c:v>
                </c:pt>
                <c:pt idx="1">
                  <c:v>Good</c:v>
                </c:pt>
                <c:pt idx="2">
                  <c:v>Opportunity</c:v>
                </c:pt>
                <c:pt idx="3">
                  <c:v>Not Answered</c:v>
                </c:pt>
              </c:strCache>
            </c:strRef>
          </c:cat>
          <c:val>
            <c:numRef>
              <c:f>'Dashboard Pie Charts'!$K$36:$N$36</c:f>
              <c:numCache>
                <c:formatCode>General</c:formatCode>
                <c:ptCount val="4"/>
                <c:pt idx="0">
                  <c:v>0</c:v>
                </c:pt>
                <c:pt idx="2">
                  <c:v>0</c:v>
                </c:pt>
                <c:pt idx="3">
                  <c:v>21</c:v>
                </c:pt>
              </c:numCache>
            </c:numRef>
          </c:val>
          <c:extLst>
            <c:ext xmlns:c16="http://schemas.microsoft.com/office/drawing/2014/chart" uri="{C3380CC4-5D6E-409C-BE32-E72D297353CC}">
              <c16:uniqueId val="{00000004-85ED-414A-82AC-AA3ED55EE10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60813806788644165"/>
          <c:y val="4.7619330247035699E-2"/>
        </c:manualLayout>
      </c:layout>
      <c:overlay val="0"/>
    </c:title>
    <c:autoTitleDeleted val="0"/>
    <c:plotArea>
      <c:layout>
        <c:manualLayout>
          <c:layoutTarget val="inner"/>
          <c:xMode val="edge"/>
          <c:yMode val="edge"/>
          <c:x val="0.58873806694114106"/>
          <c:y val="0.33313523309586335"/>
          <c:w val="0.29886366858901842"/>
          <c:h val="0.57956317960254922"/>
        </c:manualLayout>
      </c:layout>
      <c:pieChart>
        <c:varyColors val="1"/>
        <c:ser>
          <c:idx val="1"/>
          <c:order val="0"/>
          <c:tx>
            <c:strRef>
              <c:f>'Dashboard Pie Charts'!$Q$32</c:f>
              <c:strCache>
                <c:ptCount val="1"/>
                <c:pt idx="0">
                  <c:v>2023</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B4A6-41E5-B459-C1AF11BBE0EB}"/>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B4A6-41E5-B459-C1AF11BBE0EB}"/>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B4A6-41E5-B459-C1AF11BBE0EB}"/>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B4A6-41E5-B459-C1AF11BBE0EB}"/>
              </c:ext>
            </c:extLst>
          </c:dPt>
          <c:cat>
            <c:strRef>
              <c:f>'Dashboard Pie Charts'!$R$31:$U$31</c:f>
              <c:strCache>
                <c:ptCount val="4"/>
                <c:pt idx="0">
                  <c:v>Always</c:v>
                </c:pt>
                <c:pt idx="1">
                  <c:v>Sometimes</c:v>
                </c:pt>
                <c:pt idx="2">
                  <c:v>Never</c:v>
                </c:pt>
                <c:pt idx="3">
                  <c:v>Not Answered</c:v>
                </c:pt>
              </c:strCache>
            </c:strRef>
          </c:cat>
          <c:val>
            <c:numRef>
              <c:f>'Dashboard Pie Charts'!$R$32:$U$32</c:f>
              <c:numCache>
                <c:formatCode>General</c:formatCode>
                <c:ptCount val="4"/>
                <c:pt idx="0">
                  <c:v>0</c:v>
                </c:pt>
                <c:pt idx="1">
                  <c:v>0</c:v>
                </c:pt>
                <c:pt idx="2">
                  <c:v>0</c:v>
                </c:pt>
                <c:pt idx="3">
                  <c:v>20</c:v>
                </c:pt>
              </c:numCache>
            </c:numRef>
          </c:val>
          <c:extLst>
            <c:ext xmlns:c16="http://schemas.microsoft.com/office/drawing/2014/chart" uri="{C3380CC4-5D6E-409C-BE32-E72D297353CC}">
              <c16:uniqueId val="{00000004-B4A6-41E5-B459-C1AF11BBE0EB}"/>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6.5062383506409513E-2"/>
          <c:y val="0.20896213350215645"/>
          <c:w val="0.40483155185311981"/>
          <c:h val="0.74131813925269385"/>
        </c:manualLayout>
      </c:layout>
      <c:overlay val="0"/>
      <c:txPr>
        <a:bodyPr/>
        <a:lstStyle/>
        <a:p>
          <a:pPr rtl="0">
            <a:defRPr sz="1200" baseline="0"/>
          </a:pPr>
          <a:endParaRPr lang="en-US"/>
        </a:p>
      </c:txPr>
    </c:legend>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1234442472"/>
          <c:y val="4.7618766404199472E-2"/>
        </c:manualLayout>
      </c:layout>
      <c:overlay val="0"/>
    </c:title>
    <c:autoTitleDeleted val="0"/>
    <c:plotArea>
      <c:layout/>
      <c:pieChart>
        <c:varyColors val="1"/>
        <c:ser>
          <c:idx val="0"/>
          <c:order val="0"/>
          <c:tx>
            <c:strRef>
              <c:f>'Dashboard Pie Charts'!$Q$33</c:f>
              <c:strCache>
                <c:ptCount val="1"/>
                <c:pt idx="0">
                  <c:v>2024</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5B34-4966-8799-D6B006F51BF6}"/>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5B34-4966-8799-D6B006F51BF6}"/>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5B34-4966-8799-D6B006F51BF6}"/>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5B34-4966-8799-D6B006F51BF6}"/>
              </c:ext>
            </c:extLst>
          </c:dPt>
          <c:cat>
            <c:strRef>
              <c:f>'Dashboard Pie Charts'!$K$5:$N$5</c:f>
              <c:strCache>
                <c:ptCount val="4"/>
                <c:pt idx="0">
                  <c:v>Always</c:v>
                </c:pt>
                <c:pt idx="1">
                  <c:v>Sometimes</c:v>
                </c:pt>
                <c:pt idx="2">
                  <c:v>Never</c:v>
                </c:pt>
                <c:pt idx="3">
                  <c:v>Not Answered</c:v>
                </c:pt>
              </c:strCache>
            </c:strRef>
          </c:cat>
          <c:val>
            <c:numRef>
              <c:f>'Dashboard Pie Charts'!$R$33:$U$33</c:f>
              <c:numCache>
                <c:formatCode>General</c:formatCode>
                <c:ptCount val="4"/>
                <c:pt idx="0">
                  <c:v>0</c:v>
                </c:pt>
                <c:pt idx="1">
                  <c:v>0</c:v>
                </c:pt>
                <c:pt idx="2">
                  <c:v>0</c:v>
                </c:pt>
                <c:pt idx="3">
                  <c:v>20</c:v>
                </c:pt>
              </c:numCache>
            </c:numRef>
          </c:val>
          <c:extLst>
            <c:ext xmlns:c16="http://schemas.microsoft.com/office/drawing/2014/chart" uri="{C3380CC4-5D6E-409C-BE32-E72D297353CC}">
              <c16:uniqueId val="{00000004-5B34-4966-8799-D6B006F51BF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5172434838"/>
          <c:y val="4.7619330247035699E-2"/>
        </c:manualLayout>
      </c:layout>
      <c:overlay val="0"/>
    </c:title>
    <c:autoTitleDeleted val="0"/>
    <c:plotArea>
      <c:layout/>
      <c:pieChart>
        <c:varyColors val="1"/>
        <c:ser>
          <c:idx val="0"/>
          <c:order val="0"/>
          <c:tx>
            <c:strRef>
              <c:f>'Dashboard Pie Charts'!$Q$34</c:f>
              <c:strCache>
                <c:ptCount val="1"/>
                <c:pt idx="0">
                  <c:v>2025</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9160-4112-B45D-F5777CC92F0C}"/>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9160-4112-B45D-F5777CC92F0C}"/>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9160-4112-B45D-F5777CC92F0C}"/>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9160-4112-B45D-F5777CC92F0C}"/>
              </c:ext>
            </c:extLst>
          </c:dPt>
          <c:cat>
            <c:strRef>
              <c:f>'Dashboard Pie Charts'!$C$5:$F$5</c:f>
              <c:strCache>
                <c:ptCount val="4"/>
                <c:pt idx="0">
                  <c:v>Excellent</c:v>
                </c:pt>
                <c:pt idx="1">
                  <c:v>Good</c:v>
                </c:pt>
                <c:pt idx="2">
                  <c:v>Opportunity</c:v>
                </c:pt>
                <c:pt idx="3">
                  <c:v>Not Answered</c:v>
                </c:pt>
              </c:strCache>
            </c:strRef>
          </c:cat>
          <c:val>
            <c:numRef>
              <c:f>'Dashboard Pie Charts'!$R$34:$U$34</c:f>
              <c:numCache>
                <c:formatCode>General</c:formatCode>
                <c:ptCount val="4"/>
                <c:pt idx="0">
                  <c:v>0</c:v>
                </c:pt>
                <c:pt idx="1">
                  <c:v>0</c:v>
                </c:pt>
                <c:pt idx="2">
                  <c:v>0</c:v>
                </c:pt>
                <c:pt idx="3">
                  <c:v>20</c:v>
                </c:pt>
              </c:numCache>
            </c:numRef>
          </c:val>
          <c:extLst>
            <c:ext xmlns:c16="http://schemas.microsoft.com/office/drawing/2014/chart" uri="{C3380CC4-5D6E-409C-BE32-E72D297353CC}">
              <c16:uniqueId val="{00000004-9160-4112-B45D-F5777CC92F0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7169033774"/>
          <c:y val="4.7619330247035699E-2"/>
        </c:manualLayout>
      </c:layout>
      <c:overlay val="0"/>
    </c:title>
    <c:autoTitleDeleted val="0"/>
    <c:plotArea>
      <c:layout/>
      <c:pieChart>
        <c:varyColors val="1"/>
        <c:ser>
          <c:idx val="0"/>
          <c:order val="0"/>
          <c:tx>
            <c:strRef>
              <c:f>'Dashboard Pie Charts'!$Q$35</c:f>
              <c:strCache>
                <c:ptCount val="1"/>
                <c:pt idx="0">
                  <c:v>2026</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96DD-4257-AE3A-AC27B3BC0D23}"/>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96DD-4257-AE3A-AC27B3BC0D23}"/>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96DD-4257-AE3A-AC27B3BC0D23}"/>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96DD-4257-AE3A-AC27B3BC0D23}"/>
              </c:ext>
            </c:extLst>
          </c:dPt>
          <c:cat>
            <c:strRef>
              <c:f>'Dashboard Pie Charts'!$C$5:$F$5</c:f>
              <c:strCache>
                <c:ptCount val="4"/>
                <c:pt idx="0">
                  <c:v>Excellent</c:v>
                </c:pt>
                <c:pt idx="1">
                  <c:v>Good</c:v>
                </c:pt>
                <c:pt idx="2">
                  <c:v>Opportunity</c:v>
                </c:pt>
                <c:pt idx="3">
                  <c:v>Not Answered</c:v>
                </c:pt>
              </c:strCache>
            </c:strRef>
          </c:cat>
          <c:val>
            <c:numRef>
              <c:f>'Dashboard Pie Charts'!$R$35:$U$35</c:f>
              <c:numCache>
                <c:formatCode>General</c:formatCode>
                <c:ptCount val="4"/>
                <c:pt idx="0">
                  <c:v>0</c:v>
                </c:pt>
                <c:pt idx="1">
                  <c:v>0</c:v>
                </c:pt>
                <c:pt idx="2">
                  <c:v>0</c:v>
                </c:pt>
                <c:pt idx="3">
                  <c:v>20</c:v>
                </c:pt>
              </c:numCache>
            </c:numRef>
          </c:val>
          <c:extLst>
            <c:ext xmlns:c16="http://schemas.microsoft.com/office/drawing/2014/chart" uri="{C3380CC4-5D6E-409C-BE32-E72D297353CC}">
              <c16:uniqueId val="{00000004-96DD-4257-AE3A-AC27B3BC0D2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5172434838"/>
          <c:y val="4.7619330247035699E-2"/>
        </c:manualLayout>
      </c:layout>
      <c:overlay val="0"/>
    </c:title>
    <c:autoTitleDeleted val="0"/>
    <c:plotArea>
      <c:layout/>
      <c:pieChart>
        <c:varyColors val="1"/>
        <c:ser>
          <c:idx val="0"/>
          <c:order val="0"/>
          <c:tx>
            <c:strRef>
              <c:f>'Dashboard Pie Charts'!$Q$36</c:f>
              <c:strCache>
                <c:ptCount val="1"/>
                <c:pt idx="0">
                  <c:v>2027</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4F73-4008-8526-7345F7AC6911}"/>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4F73-4008-8526-7345F7AC6911}"/>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4F73-4008-8526-7345F7AC6911}"/>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4F73-4008-8526-7345F7AC6911}"/>
              </c:ext>
            </c:extLst>
          </c:dPt>
          <c:cat>
            <c:strRef>
              <c:f>'Dashboard Pie Charts'!$C$5:$F$5</c:f>
              <c:strCache>
                <c:ptCount val="4"/>
                <c:pt idx="0">
                  <c:v>Excellent</c:v>
                </c:pt>
                <c:pt idx="1">
                  <c:v>Good</c:v>
                </c:pt>
                <c:pt idx="2">
                  <c:v>Opportunity</c:v>
                </c:pt>
                <c:pt idx="3">
                  <c:v>Not Answered</c:v>
                </c:pt>
              </c:strCache>
            </c:strRef>
          </c:cat>
          <c:val>
            <c:numRef>
              <c:f>'Dashboard Pie Charts'!$R$36:$U$36</c:f>
              <c:numCache>
                <c:formatCode>General</c:formatCode>
                <c:ptCount val="4"/>
                <c:pt idx="0">
                  <c:v>0</c:v>
                </c:pt>
                <c:pt idx="1">
                  <c:v>0</c:v>
                </c:pt>
                <c:pt idx="2">
                  <c:v>0</c:v>
                </c:pt>
                <c:pt idx="3">
                  <c:v>20</c:v>
                </c:pt>
              </c:numCache>
            </c:numRef>
          </c:val>
          <c:extLst>
            <c:ext xmlns:c16="http://schemas.microsoft.com/office/drawing/2014/chart" uri="{C3380CC4-5D6E-409C-BE32-E72D297353CC}">
              <c16:uniqueId val="{00000004-4F73-4008-8526-7345F7AC691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5172434838"/>
          <c:y val="4.7619330247035699E-2"/>
        </c:manualLayout>
      </c:layout>
      <c:overlay val="0"/>
    </c:title>
    <c:autoTitleDeleted val="0"/>
    <c:plotArea>
      <c:layout/>
      <c:pieChart>
        <c:varyColors val="1"/>
        <c:ser>
          <c:idx val="0"/>
          <c:order val="0"/>
          <c:tx>
            <c:strRef>
              <c:f>'Dashboard Pie Charts'!$B$8</c:f>
              <c:strCache>
                <c:ptCount val="1"/>
                <c:pt idx="0">
                  <c:v>2025</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C180-4703-BD61-12D25A187454}"/>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C180-4703-BD61-12D25A187454}"/>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C180-4703-BD61-12D25A187454}"/>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C180-4703-BD61-12D25A187454}"/>
              </c:ext>
            </c:extLst>
          </c:dPt>
          <c:cat>
            <c:strRef>
              <c:f>'Dashboard Pie Charts'!$C$5:$F$5</c:f>
              <c:strCache>
                <c:ptCount val="4"/>
                <c:pt idx="0">
                  <c:v>Excellent</c:v>
                </c:pt>
                <c:pt idx="1">
                  <c:v>Good</c:v>
                </c:pt>
                <c:pt idx="2">
                  <c:v>Opportunity</c:v>
                </c:pt>
                <c:pt idx="3">
                  <c:v>Not Answered</c:v>
                </c:pt>
              </c:strCache>
            </c:strRef>
          </c:cat>
          <c:val>
            <c:numRef>
              <c:f>'Dashboard Pie Charts'!$C$8:$F$8</c:f>
              <c:numCache>
                <c:formatCode>General</c:formatCode>
                <c:ptCount val="4"/>
                <c:pt idx="0">
                  <c:v>0</c:v>
                </c:pt>
                <c:pt idx="1">
                  <c:v>0</c:v>
                </c:pt>
                <c:pt idx="2">
                  <c:v>0</c:v>
                </c:pt>
                <c:pt idx="3">
                  <c:v>49</c:v>
                </c:pt>
              </c:numCache>
            </c:numRef>
          </c:val>
          <c:extLst>
            <c:ext xmlns:c16="http://schemas.microsoft.com/office/drawing/2014/chart" uri="{C3380CC4-5D6E-409C-BE32-E72D297353CC}">
              <c16:uniqueId val="{00000004-C180-4703-BD61-12D25A18745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65315719571198183"/>
          <c:y val="4.7619330247035699E-2"/>
        </c:manualLayout>
      </c:layout>
      <c:overlay val="0"/>
    </c:title>
    <c:autoTitleDeleted val="0"/>
    <c:plotArea>
      <c:layout>
        <c:manualLayout>
          <c:layoutTarget val="inner"/>
          <c:xMode val="edge"/>
          <c:yMode val="edge"/>
          <c:x val="0.61026494419852895"/>
          <c:y val="0.33313523309586335"/>
          <c:w val="0.29886366858901842"/>
          <c:h val="0.57956317960254922"/>
        </c:manualLayout>
      </c:layout>
      <c:pieChart>
        <c:varyColors val="1"/>
        <c:ser>
          <c:idx val="1"/>
          <c:order val="0"/>
          <c:tx>
            <c:strRef>
              <c:f>'Dashboard Pie Charts'!$B$58</c:f>
              <c:strCache>
                <c:ptCount val="1"/>
                <c:pt idx="0">
                  <c:v>2023</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BB9B-4EA2-B049-0E6CBCDCD34E}"/>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BB9B-4EA2-B049-0E6CBCDCD34E}"/>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BB9B-4EA2-B049-0E6CBCDCD34E}"/>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BB9B-4EA2-B049-0E6CBCDCD34E}"/>
              </c:ext>
            </c:extLst>
          </c:dPt>
          <c:cat>
            <c:strRef>
              <c:f>'Dashboard Pie Charts'!$C$57:$F$57</c:f>
              <c:strCache>
                <c:ptCount val="4"/>
                <c:pt idx="0">
                  <c:v>Excellent</c:v>
                </c:pt>
                <c:pt idx="1">
                  <c:v>Good</c:v>
                </c:pt>
                <c:pt idx="2">
                  <c:v>Opportunity</c:v>
                </c:pt>
                <c:pt idx="3">
                  <c:v>Not Answered</c:v>
                </c:pt>
              </c:strCache>
            </c:strRef>
          </c:cat>
          <c:val>
            <c:numRef>
              <c:f>'Dashboard Pie Charts'!$C$58:$F$58</c:f>
              <c:numCache>
                <c:formatCode>General</c:formatCode>
                <c:ptCount val="4"/>
                <c:pt idx="0">
                  <c:v>0</c:v>
                </c:pt>
                <c:pt idx="1">
                  <c:v>0</c:v>
                </c:pt>
                <c:pt idx="2">
                  <c:v>0</c:v>
                </c:pt>
                <c:pt idx="3">
                  <c:v>21</c:v>
                </c:pt>
              </c:numCache>
            </c:numRef>
          </c:val>
          <c:extLst>
            <c:ext xmlns:c16="http://schemas.microsoft.com/office/drawing/2014/chart" uri="{C3380CC4-5D6E-409C-BE32-E72D297353CC}">
              <c16:uniqueId val="{00000004-BB9B-4EA2-B049-0E6CBCDCD34E}"/>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5.5423267874648199E-2"/>
          <c:y val="0.23383848375736951"/>
          <c:w val="0.40483160990418371"/>
          <c:h val="0.74131813925269385"/>
        </c:manualLayout>
      </c:layout>
      <c:overlay val="0"/>
      <c:txPr>
        <a:bodyPr/>
        <a:lstStyle/>
        <a:p>
          <a:pPr rtl="0">
            <a:defRPr sz="1200" baseline="0"/>
          </a:pPr>
          <a:endParaRPr lang="en-US"/>
        </a:p>
      </c:txPr>
    </c:legend>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7169033774"/>
          <c:y val="4.7619330247035699E-2"/>
        </c:manualLayout>
      </c:layout>
      <c:overlay val="0"/>
    </c:title>
    <c:autoTitleDeleted val="0"/>
    <c:plotArea>
      <c:layout/>
      <c:pieChart>
        <c:varyColors val="1"/>
        <c:ser>
          <c:idx val="0"/>
          <c:order val="0"/>
          <c:tx>
            <c:strRef>
              <c:f>'Dashboard Pie Charts'!$B$59</c:f>
              <c:strCache>
                <c:ptCount val="1"/>
                <c:pt idx="0">
                  <c:v>2024</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9227-4850-9E7D-EEC5E3EC047E}"/>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9227-4850-9E7D-EEC5E3EC047E}"/>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9227-4850-9E7D-EEC5E3EC047E}"/>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9227-4850-9E7D-EEC5E3EC047E}"/>
              </c:ext>
            </c:extLst>
          </c:dPt>
          <c:cat>
            <c:strRef>
              <c:f>'Dashboard Pie Charts'!$K$5:$N$5</c:f>
              <c:strCache>
                <c:ptCount val="4"/>
                <c:pt idx="0">
                  <c:v>Always</c:v>
                </c:pt>
                <c:pt idx="1">
                  <c:v>Sometimes</c:v>
                </c:pt>
                <c:pt idx="2">
                  <c:v>Never</c:v>
                </c:pt>
                <c:pt idx="3">
                  <c:v>Not Answered</c:v>
                </c:pt>
              </c:strCache>
            </c:strRef>
          </c:cat>
          <c:val>
            <c:numRef>
              <c:f>'Dashboard Pie Charts'!$C$59:$F$59</c:f>
              <c:numCache>
                <c:formatCode>General</c:formatCode>
                <c:ptCount val="4"/>
                <c:pt idx="0">
                  <c:v>0</c:v>
                </c:pt>
                <c:pt idx="1">
                  <c:v>0</c:v>
                </c:pt>
                <c:pt idx="2">
                  <c:v>0</c:v>
                </c:pt>
                <c:pt idx="3">
                  <c:v>21</c:v>
                </c:pt>
              </c:numCache>
            </c:numRef>
          </c:val>
          <c:extLst>
            <c:ext xmlns:c16="http://schemas.microsoft.com/office/drawing/2014/chart" uri="{C3380CC4-5D6E-409C-BE32-E72D297353CC}">
              <c16:uniqueId val="{00000004-9227-4850-9E7D-EEC5E3EC047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5172434838"/>
          <c:y val="4.7618766404199472E-2"/>
        </c:manualLayout>
      </c:layout>
      <c:overlay val="0"/>
    </c:title>
    <c:autoTitleDeleted val="0"/>
    <c:plotArea>
      <c:layout/>
      <c:pieChart>
        <c:varyColors val="1"/>
        <c:ser>
          <c:idx val="0"/>
          <c:order val="0"/>
          <c:tx>
            <c:strRef>
              <c:f>'Dashboard Pie Charts'!$B$60</c:f>
              <c:strCache>
                <c:ptCount val="1"/>
                <c:pt idx="0">
                  <c:v>2025</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542A-405D-A417-C18E4B1342E0}"/>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542A-405D-A417-C18E4B1342E0}"/>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542A-405D-A417-C18E4B1342E0}"/>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542A-405D-A417-C18E4B1342E0}"/>
              </c:ext>
            </c:extLst>
          </c:dPt>
          <c:cat>
            <c:strRef>
              <c:f>'Dashboard Pie Charts'!$C$5:$F$5</c:f>
              <c:strCache>
                <c:ptCount val="4"/>
                <c:pt idx="0">
                  <c:v>Excellent</c:v>
                </c:pt>
                <c:pt idx="1">
                  <c:v>Good</c:v>
                </c:pt>
                <c:pt idx="2">
                  <c:v>Opportunity</c:v>
                </c:pt>
                <c:pt idx="3">
                  <c:v>Not Answered</c:v>
                </c:pt>
              </c:strCache>
            </c:strRef>
          </c:cat>
          <c:val>
            <c:numRef>
              <c:f>'Dashboard Pie Charts'!$C$60:$F$60</c:f>
              <c:numCache>
                <c:formatCode>General</c:formatCode>
                <c:ptCount val="4"/>
                <c:pt idx="0">
                  <c:v>0</c:v>
                </c:pt>
                <c:pt idx="1">
                  <c:v>0</c:v>
                </c:pt>
                <c:pt idx="2">
                  <c:v>0</c:v>
                </c:pt>
                <c:pt idx="3">
                  <c:v>21</c:v>
                </c:pt>
              </c:numCache>
            </c:numRef>
          </c:val>
          <c:extLst>
            <c:ext xmlns:c16="http://schemas.microsoft.com/office/drawing/2014/chart" uri="{C3380CC4-5D6E-409C-BE32-E72D297353CC}">
              <c16:uniqueId val="{00000004-542A-405D-A417-C18E4B1342E0}"/>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5172434838"/>
          <c:y val="4.7619330247035699E-2"/>
        </c:manualLayout>
      </c:layout>
      <c:overlay val="0"/>
    </c:title>
    <c:autoTitleDeleted val="0"/>
    <c:plotArea>
      <c:layout/>
      <c:pieChart>
        <c:varyColors val="1"/>
        <c:ser>
          <c:idx val="0"/>
          <c:order val="0"/>
          <c:tx>
            <c:strRef>
              <c:f>'Dashboard Pie Charts'!$B$61</c:f>
              <c:strCache>
                <c:ptCount val="1"/>
                <c:pt idx="0">
                  <c:v>2026</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CD1B-492F-AC1E-EF05FC857495}"/>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CD1B-492F-AC1E-EF05FC857495}"/>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CD1B-492F-AC1E-EF05FC857495}"/>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CD1B-492F-AC1E-EF05FC857495}"/>
              </c:ext>
            </c:extLst>
          </c:dPt>
          <c:cat>
            <c:strRef>
              <c:f>'Dashboard Pie Charts'!$C$5:$F$5</c:f>
              <c:strCache>
                <c:ptCount val="4"/>
                <c:pt idx="0">
                  <c:v>Excellent</c:v>
                </c:pt>
                <c:pt idx="1">
                  <c:v>Good</c:v>
                </c:pt>
                <c:pt idx="2">
                  <c:v>Opportunity</c:v>
                </c:pt>
                <c:pt idx="3">
                  <c:v>Not Answered</c:v>
                </c:pt>
              </c:strCache>
            </c:strRef>
          </c:cat>
          <c:val>
            <c:numRef>
              <c:f>'Dashboard Pie Charts'!$C$61:$F$61</c:f>
              <c:numCache>
                <c:formatCode>General</c:formatCode>
                <c:ptCount val="4"/>
                <c:pt idx="0">
                  <c:v>0</c:v>
                </c:pt>
                <c:pt idx="1">
                  <c:v>0</c:v>
                </c:pt>
                <c:pt idx="2">
                  <c:v>0</c:v>
                </c:pt>
                <c:pt idx="3">
                  <c:v>21</c:v>
                </c:pt>
              </c:numCache>
            </c:numRef>
          </c:val>
          <c:extLst>
            <c:ext xmlns:c16="http://schemas.microsoft.com/office/drawing/2014/chart" uri="{C3380CC4-5D6E-409C-BE32-E72D297353CC}">
              <c16:uniqueId val="{00000004-CD1B-492F-AC1E-EF05FC85749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7169033774"/>
          <c:y val="4.7619330247035699E-2"/>
        </c:manualLayout>
      </c:layout>
      <c:overlay val="0"/>
    </c:title>
    <c:autoTitleDeleted val="0"/>
    <c:plotArea>
      <c:layout/>
      <c:pieChart>
        <c:varyColors val="1"/>
        <c:ser>
          <c:idx val="0"/>
          <c:order val="0"/>
          <c:tx>
            <c:strRef>
              <c:f>'Dashboard Pie Charts'!$B$62</c:f>
              <c:strCache>
                <c:ptCount val="1"/>
                <c:pt idx="0">
                  <c:v>2027</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2F22-48F8-92CF-2FF50D531079}"/>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2F22-48F8-92CF-2FF50D531079}"/>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2F22-48F8-92CF-2FF50D531079}"/>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2F22-48F8-92CF-2FF50D531079}"/>
              </c:ext>
            </c:extLst>
          </c:dPt>
          <c:cat>
            <c:strRef>
              <c:f>'Dashboard Pie Charts'!$C$5:$F$5</c:f>
              <c:strCache>
                <c:ptCount val="4"/>
                <c:pt idx="0">
                  <c:v>Excellent</c:v>
                </c:pt>
                <c:pt idx="1">
                  <c:v>Good</c:v>
                </c:pt>
                <c:pt idx="2">
                  <c:v>Opportunity</c:v>
                </c:pt>
                <c:pt idx="3">
                  <c:v>Not Answered</c:v>
                </c:pt>
              </c:strCache>
            </c:strRef>
          </c:cat>
          <c:val>
            <c:numRef>
              <c:f>'Dashboard Pie Charts'!$C$62:$F$62</c:f>
              <c:numCache>
                <c:formatCode>General</c:formatCode>
                <c:ptCount val="4"/>
                <c:pt idx="0">
                  <c:v>0</c:v>
                </c:pt>
                <c:pt idx="1">
                  <c:v>0</c:v>
                </c:pt>
                <c:pt idx="2">
                  <c:v>0</c:v>
                </c:pt>
                <c:pt idx="3">
                  <c:v>21</c:v>
                </c:pt>
              </c:numCache>
            </c:numRef>
          </c:val>
          <c:extLst>
            <c:ext xmlns:c16="http://schemas.microsoft.com/office/drawing/2014/chart" uri="{C3380CC4-5D6E-409C-BE32-E72D297353CC}">
              <c16:uniqueId val="{00000004-2F22-48F8-92CF-2FF50D53107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61940264996995853"/>
          <c:y val="4.7619330247035699E-2"/>
        </c:manualLayout>
      </c:layout>
      <c:overlay val="0"/>
    </c:title>
    <c:autoTitleDeleted val="0"/>
    <c:plotArea>
      <c:layout>
        <c:manualLayout>
          <c:layoutTarget val="inner"/>
          <c:xMode val="edge"/>
          <c:yMode val="edge"/>
          <c:x val="0.58740961429756322"/>
          <c:y val="0.33313523309586335"/>
          <c:w val="0.29803204123140187"/>
          <c:h val="0.57956317960254922"/>
        </c:manualLayout>
      </c:layout>
      <c:pieChart>
        <c:varyColors val="1"/>
        <c:ser>
          <c:idx val="1"/>
          <c:order val="0"/>
          <c:tx>
            <c:strRef>
              <c:f>'Dashboard Pie Charts'!$J$58</c:f>
              <c:strCache>
                <c:ptCount val="1"/>
                <c:pt idx="0">
                  <c:v>2023</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A7B8-41D3-9BCA-16DF5A533F5E}"/>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A7B8-41D3-9BCA-16DF5A533F5E}"/>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A7B8-41D3-9BCA-16DF5A533F5E}"/>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A7B8-41D3-9BCA-16DF5A533F5E}"/>
              </c:ext>
            </c:extLst>
          </c:dPt>
          <c:cat>
            <c:strRef>
              <c:f>'Dashboard Pie Charts'!$K$57:$N$57</c:f>
              <c:strCache>
                <c:ptCount val="4"/>
                <c:pt idx="0">
                  <c:v>Yes</c:v>
                </c:pt>
                <c:pt idx="1">
                  <c:v>Maybe</c:v>
                </c:pt>
                <c:pt idx="2">
                  <c:v>No</c:v>
                </c:pt>
                <c:pt idx="3">
                  <c:v>Not Answered</c:v>
                </c:pt>
              </c:strCache>
            </c:strRef>
          </c:cat>
          <c:val>
            <c:numRef>
              <c:f>'Dashboard Pie Charts'!$K$58:$N$58</c:f>
              <c:numCache>
                <c:formatCode>General</c:formatCode>
                <c:ptCount val="4"/>
                <c:pt idx="0">
                  <c:v>0</c:v>
                </c:pt>
                <c:pt idx="1">
                  <c:v>0</c:v>
                </c:pt>
                <c:pt idx="2">
                  <c:v>0</c:v>
                </c:pt>
                <c:pt idx="3">
                  <c:v>27</c:v>
                </c:pt>
              </c:numCache>
            </c:numRef>
          </c:val>
          <c:extLst>
            <c:ext xmlns:c16="http://schemas.microsoft.com/office/drawing/2014/chart" uri="{C3380CC4-5D6E-409C-BE32-E72D297353CC}">
              <c16:uniqueId val="{00000004-A7B8-41D3-9BCA-16DF5A533F5E}"/>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7.4521708882775192E-2"/>
          <c:y val="0.22886347749244912"/>
          <c:w val="0.40385890016759951"/>
          <c:h val="0.74131813925269374"/>
        </c:manualLayout>
      </c:layout>
      <c:overlay val="0"/>
      <c:txPr>
        <a:bodyPr/>
        <a:lstStyle/>
        <a:p>
          <a:pPr rtl="0">
            <a:defRPr sz="1200" baseline="0"/>
          </a:pPr>
          <a:endParaRPr lang="en-US"/>
        </a:p>
      </c:txPr>
    </c:legend>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1234442472"/>
          <c:y val="4.7618766404199472E-2"/>
        </c:manualLayout>
      </c:layout>
      <c:overlay val="0"/>
    </c:title>
    <c:autoTitleDeleted val="0"/>
    <c:plotArea>
      <c:layout/>
      <c:pieChart>
        <c:varyColors val="1"/>
        <c:ser>
          <c:idx val="0"/>
          <c:order val="0"/>
          <c:tx>
            <c:strRef>
              <c:f>'Dashboard Pie Charts'!$J$59</c:f>
              <c:strCache>
                <c:ptCount val="1"/>
                <c:pt idx="0">
                  <c:v>2024</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4D36-46FF-A879-BCB17610B7FA}"/>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4D36-46FF-A879-BCB17610B7FA}"/>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4D36-46FF-A879-BCB17610B7FA}"/>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4D36-46FF-A879-BCB17610B7FA}"/>
              </c:ext>
            </c:extLst>
          </c:dPt>
          <c:cat>
            <c:strRef>
              <c:f>'Dashboard Pie Charts'!$K$5:$N$5</c:f>
              <c:strCache>
                <c:ptCount val="4"/>
                <c:pt idx="0">
                  <c:v>Always</c:v>
                </c:pt>
                <c:pt idx="1">
                  <c:v>Sometimes</c:v>
                </c:pt>
                <c:pt idx="2">
                  <c:v>Never</c:v>
                </c:pt>
                <c:pt idx="3">
                  <c:v>Not Answered</c:v>
                </c:pt>
              </c:strCache>
            </c:strRef>
          </c:cat>
          <c:val>
            <c:numRef>
              <c:f>'Dashboard Pie Charts'!$K$59:$N$59</c:f>
              <c:numCache>
                <c:formatCode>General</c:formatCode>
                <c:ptCount val="4"/>
                <c:pt idx="0">
                  <c:v>0</c:v>
                </c:pt>
                <c:pt idx="1">
                  <c:v>0</c:v>
                </c:pt>
                <c:pt idx="2">
                  <c:v>0</c:v>
                </c:pt>
                <c:pt idx="3">
                  <c:v>27</c:v>
                </c:pt>
              </c:numCache>
            </c:numRef>
          </c:val>
          <c:extLst>
            <c:ext xmlns:c16="http://schemas.microsoft.com/office/drawing/2014/chart" uri="{C3380CC4-5D6E-409C-BE32-E72D297353CC}">
              <c16:uniqueId val="{00000004-4D36-46FF-A879-BCB17610B7F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7169033774"/>
          <c:y val="4.7618766404199472E-2"/>
        </c:manualLayout>
      </c:layout>
      <c:overlay val="0"/>
    </c:title>
    <c:autoTitleDeleted val="0"/>
    <c:plotArea>
      <c:layout/>
      <c:pieChart>
        <c:varyColors val="1"/>
        <c:ser>
          <c:idx val="0"/>
          <c:order val="0"/>
          <c:tx>
            <c:strRef>
              <c:f>'Dashboard Pie Charts'!$J$60</c:f>
              <c:strCache>
                <c:ptCount val="1"/>
                <c:pt idx="0">
                  <c:v>2025</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92C9-4D06-9F61-A23BDB25E921}"/>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92C9-4D06-9F61-A23BDB25E921}"/>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92C9-4D06-9F61-A23BDB25E921}"/>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92C9-4D06-9F61-A23BDB25E921}"/>
              </c:ext>
            </c:extLst>
          </c:dPt>
          <c:cat>
            <c:strRef>
              <c:f>'Dashboard Pie Charts'!$C$5:$F$5</c:f>
              <c:strCache>
                <c:ptCount val="4"/>
                <c:pt idx="0">
                  <c:v>Excellent</c:v>
                </c:pt>
                <c:pt idx="1">
                  <c:v>Good</c:v>
                </c:pt>
                <c:pt idx="2">
                  <c:v>Opportunity</c:v>
                </c:pt>
                <c:pt idx="3">
                  <c:v>Not Answered</c:v>
                </c:pt>
              </c:strCache>
            </c:strRef>
          </c:cat>
          <c:val>
            <c:numRef>
              <c:f>'Dashboard Pie Charts'!$K$60:$N$60</c:f>
              <c:numCache>
                <c:formatCode>General</c:formatCode>
                <c:ptCount val="4"/>
                <c:pt idx="0">
                  <c:v>0</c:v>
                </c:pt>
                <c:pt idx="1">
                  <c:v>0</c:v>
                </c:pt>
                <c:pt idx="2">
                  <c:v>0</c:v>
                </c:pt>
                <c:pt idx="3">
                  <c:v>27</c:v>
                </c:pt>
              </c:numCache>
            </c:numRef>
          </c:val>
          <c:extLst>
            <c:ext xmlns:c16="http://schemas.microsoft.com/office/drawing/2014/chart" uri="{C3380CC4-5D6E-409C-BE32-E72D297353CC}">
              <c16:uniqueId val="{00000004-92C9-4D06-9F61-A23BDB25E92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5172434838"/>
          <c:y val="4.7619330247035699E-2"/>
        </c:manualLayout>
      </c:layout>
      <c:overlay val="0"/>
    </c:title>
    <c:autoTitleDeleted val="0"/>
    <c:plotArea>
      <c:layout/>
      <c:pieChart>
        <c:varyColors val="1"/>
        <c:ser>
          <c:idx val="0"/>
          <c:order val="0"/>
          <c:tx>
            <c:strRef>
              <c:f>'Dashboard Pie Charts'!$J$61</c:f>
              <c:strCache>
                <c:ptCount val="1"/>
                <c:pt idx="0">
                  <c:v>2026</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380B-447F-BCFA-3EB588E45FCD}"/>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380B-447F-BCFA-3EB588E45FCD}"/>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380B-447F-BCFA-3EB588E45FCD}"/>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380B-447F-BCFA-3EB588E45FCD}"/>
              </c:ext>
            </c:extLst>
          </c:dPt>
          <c:cat>
            <c:strRef>
              <c:f>'Dashboard Pie Charts'!$C$5:$F$5</c:f>
              <c:strCache>
                <c:ptCount val="4"/>
                <c:pt idx="0">
                  <c:v>Excellent</c:v>
                </c:pt>
                <c:pt idx="1">
                  <c:v>Good</c:v>
                </c:pt>
                <c:pt idx="2">
                  <c:v>Opportunity</c:v>
                </c:pt>
                <c:pt idx="3">
                  <c:v>Not Answered</c:v>
                </c:pt>
              </c:strCache>
            </c:strRef>
          </c:cat>
          <c:val>
            <c:numRef>
              <c:f>'Dashboard Pie Charts'!$K$61:$N$61</c:f>
              <c:numCache>
                <c:formatCode>General</c:formatCode>
                <c:ptCount val="4"/>
                <c:pt idx="0">
                  <c:v>0</c:v>
                </c:pt>
                <c:pt idx="1">
                  <c:v>0</c:v>
                </c:pt>
                <c:pt idx="2">
                  <c:v>0</c:v>
                </c:pt>
                <c:pt idx="3">
                  <c:v>27</c:v>
                </c:pt>
              </c:numCache>
            </c:numRef>
          </c:val>
          <c:extLst>
            <c:ext xmlns:c16="http://schemas.microsoft.com/office/drawing/2014/chart" uri="{C3380CC4-5D6E-409C-BE32-E72D297353CC}">
              <c16:uniqueId val="{00000004-380B-447F-BCFA-3EB588E45FCD}"/>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5172434838"/>
          <c:y val="4.7619330247035699E-2"/>
        </c:manualLayout>
      </c:layout>
      <c:overlay val="0"/>
    </c:title>
    <c:autoTitleDeleted val="0"/>
    <c:plotArea>
      <c:layout/>
      <c:pieChart>
        <c:varyColors val="1"/>
        <c:ser>
          <c:idx val="0"/>
          <c:order val="0"/>
          <c:tx>
            <c:strRef>
              <c:f>'Dashboard Pie Charts'!$J$62</c:f>
              <c:strCache>
                <c:ptCount val="1"/>
                <c:pt idx="0">
                  <c:v>2027</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E64A-4463-BF67-A86303607B57}"/>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E64A-4463-BF67-A86303607B57}"/>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E64A-4463-BF67-A86303607B57}"/>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E64A-4463-BF67-A86303607B57}"/>
              </c:ext>
            </c:extLst>
          </c:dPt>
          <c:cat>
            <c:strRef>
              <c:f>'Dashboard Pie Charts'!$C$5:$F$5</c:f>
              <c:strCache>
                <c:ptCount val="4"/>
                <c:pt idx="0">
                  <c:v>Excellent</c:v>
                </c:pt>
                <c:pt idx="1">
                  <c:v>Good</c:v>
                </c:pt>
                <c:pt idx="2">
                  <c:v>Opportunity</c:v>
                </c:pt>
                <c:pt idx="3">
                  <c:v>Not Answered</c:v>
                </c:pt>
              </c:strCache>
            </c:strRef>
          </c:cat>
          <c:val>
            <c:numRef>
              <c:f>'Dashboard Pie Charts'!$K$62:$N$62</c:f>
              <c:numCache>
                <c:formatCode>General</c:formatCode>
                <c:ptCount val="4"/>
                <c:pt idx="0">
                  <c:v>0</c:v>
                </c:pt>
                <c:pt idx="1">
                  <c:v>0</c:v>
                </c:pt>
                <c:pt idx="2">
                  <c:v>0</c:v>
                </c:pt>
                <c:pt idx="3">
                  <c:v>27</c:v>
                </c:pt>
              </c:numCache>
            </c:numRef>
          </c:val>
          <c:extLst>
            <c:ext xmlns:c16="http://schemas.microsoft.com/office/drawing/2014/chart" uri="{C3380CC4-5D6E-409C-BE32-E72D297353CC}">
              <c16:uniqueId val="{00000004-E64A-4463-BF67-A86303607B5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5172434838"/>
          <c:y val="4.7619330247035699E-2"/>
        </c:manualLayout>
      </c:layout>
      <c:overlay val="0"/>
    </c:title>
    <c:autoTitleDeleted val="0"/>
    <c:plotArea>
      <c:layout/>
      <c:pieChart>
        <c:varyColors val="1"/>
        <c:ser>
          <c:idx val="0"/>
          <c:order val="0"/>
          <c:tx>
            <c:strRef>
              <c:f>'Dashboard Pie Charts'!$B$9</c:f>
              <c:strCache>
                <c:ptCount val="1"/>
                <c:pt idx="0">
                  <c:v>2026</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1943-4587-BA2A-0DEFA5719B32}"/>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1943-4587-BA2A-0DEFA5719B32}"/>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1943-4587-BA2A-0DEFA5719B32}"/>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1943-4587-BA2A-0DEFA5719B32}"/>
              </c:ext>
            </c:extLst>
          </c:dPt>
          <c:cat>
            <c:strRef>
              <c:f>'Dashboard Pie Charts'!$C$5:$F$5</c:f>
              <c:strCache>
                <c:ptCount val="4"/>
                <c:pt idx="0">
                  <c:v>Excellent</c:v>
                </c:pt>
                <c:pt idx="1">
                  <c:v>Good</c:v>
                </c:pt>
                <c:pt idx="2">
                  <c:v>Opportunity</c:v>
                </c:pt>
                <c:pt idx="3">
                  <c:v>Not Answered</c:v>
                </c:pt>
              </c:strCache>
            </c:strRef>
          </c:cat>
          <c:val>
            <c:numRef>
              <c:f>'Dashboard Pie Charts'!$C$9:$F$9</c:f>
              <c:numCache>
                <c:formatCode>General</c:formatCode>
                <c:ptCount val="4"/>
                <c:pt idx="0">
                  <c:v>0</c:v>
                </c:pt>
                <c:pt idx="1">
                  <c:v>0</c:v>
                </c:pt>
                <c:pt idx="2">
                  <c:v>0</c:v>
                </c:pt>
                <c:pt idx="3">
                  <c:v>49</c:v>
                </c:pt>
              </c:numCache>
            </c:numRef>
          </c:val>
          <c:extLst>
            <c:ext xmlns:c16="http://schemas.microsoft.com/office/drawing/2014/chart" uri="{C3380CC4-5D6E-409C-BE32-E72D297353CC}">
              <c16:uniqueId val="{00000004-1943-4587-BA2A-0DEFA5719B3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60813807172408529"/>
          <c:y val="4.7619330247035699E-2"/>
        </c:manualLayout>
      </c:layout>
      <c:overlay val="0"/>
    </c:title>
    <c:autoTitleDeleted val="0"/>
    <c:plotArea>
      <c:layout>
        <c:manualLayout>
          <c:layoutTarget val="inner"/>
          <c:xMode val="edge"/>
          <c:yMode val="edge"/>
          <c:x val="0.5979870737548757"/>
          <c:y val="0.33313523309586335"/>
          <c:w val="0.29886366858901842"/>
          <c:h val="0.57956317960254922"/>
        </c:manualLayout>
      </c:layout>
      <c:pieChart>
        <c:varyColors val="1"/>
        <c:ser>
          <c:idx val="1"/>
          <c:order val="0"/>
          <c:tx>
            <c:strRef>
              <c:f>'Dashboard Pie Charts'!$Q$58</c:f>
              <c:strCache>
                <c:ptCount val="1"/>
                <c:pt idx="0">
                  <c:v>2023</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FAF5-4A11-8C36-76FF7AF155BF}"/>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FAF5-4A11-8C36-76FF7AF155BF}"/>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FAF5-4A11-8C36-76FF7AF155BF}"/>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FAF5-4A11-8C36-76FF7AF155BF}"/>
              </c:ext>
            </c:extLst>
          </c:dPt>
          <c:cat>
            <c:strRef>
              <c:f>'Dashboard Pie Charts'!$R$57:$U$57</c:f>
              <c:strCache>
                <c:ptCount val="4"/>
                <c:pt idx="0">
                  <c:v>Excellent</c:v>
                </c:pt>
                <c:pt idx="1">
                  <c:v>Good</c:v>
                </c:pt>
                <c:pt idx="2">
                  <c:v>Opportunity</c:v>
                </c:pt>
                <c:pt idx="3">
                  <c:v>Not Answered</c:v>
                </c:pt>
              </c:strCache>
            </c:strRef>
          </c:cat>
          <c:val>
            <c:numRef>
              <c:f>'Dashboard Pie Charts'!$R$58:$U$58</c:f>
              <c:numCache>
                <c:formatCode>General</c:formatCode>
                <c:ptCount val="4"/>
                <c:pt idx="0">
                  <c:v>0</c:v>
                </c:pt>
                <c:pt idx="1">
                  <c:v>0</c:v>
                </c:pt>
                <c:pt idx="2">
                  <c:v>0</c:v>
                </c:pt>
                <c:pt idx="3">
                  <c:v>12</c:v>
                </c:pt>
              </c:numCache>
            </c:numRef>
          </c:val>
          <c:extLst>
            <c:ext xmlns:c16="http://schemas.microsoft.com/office/drawing/2014/chart" uri="{C3380CC4-5D6E-409C-BE32-E72D297353CC}">
              <c16:uniqueId val="{00000004-FAF5-4A11-8C36-76FF7AF155BF}"/>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5.5557568015862424E-2"/>
          <c:y val="0.23383848375736951"/>
          <c:w val="0.40581113801452784"/>
          <c:h val="0.74131813925269385"/>
        </c:manualLayout>
      </c:layout>
      <c:overlay val="0"/>
      <c:txPr>
        <a:bodyPr/>
        <a:lstStyle/>
        <a:p>
          <a:pPr rtl="0">
            <a:defRPr sz="1200" baseline="0"/>
          </a:pPr>
          <a:endParaRPr lang="en-US"/>
        </a:p>
      </c:txPr>
    </c:legend>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1234442472"/>
          <c:y val="4.7619330247035699E-2"/>
        </c:manualLayout>
      </c:layout>
      <c:overlay val="0"/>
    </c:title>
    <c:autoTitleDeleted val="0"/>
    <c:plotArea>
      <c:layout/>
      <c:pieChart>
        <c:varyColors val="1"/>
        <c:ser>
          <c:idx val="0"/>
          <c:order val="0"/>
          <c:tx>
            <c:strRef>
              <c:f>'Dashboard Pie Charts'!$Q$59</c:f>
              <c:strCache>
                <c:ptCount val="1"/>
                <c:pt idx="0">
                  <c:v>2024</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C0BE-4409-A00C-682859385ED6}"/>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C0BE-4409-A00C-682859385ED6}"/>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C0BE-4409-A00C-682859385ED6}"/>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C0BE-4409-A00C-682859385ED6}"/>
              </c:ext>
            </c:extLst>
          </c:dPt>
          <c:cat>
            <c:strRef>
              <c:f>'Dashboard Pie Charts'!$K$5:$N$5</c:f>
              <c:strCache>
                <c:ptCount val="4"/>
                <c:pt idx="0">
                  <c:v>Always</c:v>
                </c:pt>
                <c:pt idx="1">
                  <c:v>Sometimes</c:v>
                </c:pt>
                <c:pt idx="2">
                  <c:v>Never</c:v>
                </c:pt>
                <c:pt idx="3">
                  <c:v>Not Answered</c:v>
                </c:pt>
              </c:strCache>
            </c:strRef>
          </c:cat>
          <c:val>
            <c:numRef>
              <c:f>'Dashboard Pie Charts'!$R$59:$U$59</c:f>
              <c:numCache>
                <c:formatCode>General</c:formatCode>
                <c:ptCount val="4"/>
                <c:pt idx="0">
                  <c:v>0</c:v>
                </c:pt>
                <c:pt idx="1">
                  <c:v>0</c:v>
                </c:pt>
                <c:pt idx="2">
                  <c:v>0</c:v>
                </c:pt>
                <c:pt idx="3">
                  <c:v>12</c:v>
                </c:pt>
              </c:numCache>
            </c:numRef>
          </c:val>
          <c:extLst>
            <c:ext xmlns:c16="http://schemas.microsoft.com/office/drawing/2014/chart" uri="{C3380CC4-5D6E-409C-BE32-E72D297353CC}">
              <c16:uniqueId val="{00000004-C0BE-4409-A00C-682859385ED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5172434838"/>
          <c:y val="4.7619330247035699E-2"/>
        </c:manualLayout>
      </c:layout>
      <c:overlay val="0"/>
    </c:title>
    <c:autoTitleDeleted val="0"/>
    <c:plotArea>
      <c:layout/>
      <c:pieChart>
        <c:varyColors val="1"/>
        <c:ser>
          <c:idx val="0"/>
          <c:order val="0"/>
          <c:tx>
            <c:strRef>
              <c:f>'Dashboard Pie Charts'!$Q$60</c:f>
              <c:strCache>
                <c:ptCount val="1"/>
                <c:pt idx="0">
                  <c:v>2025</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520A-4F41-9E1F-AC44AEBBCA9A}"/>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520A-4F41-9E1F-AC44AEBBCA9A}"/>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520A-4F41-9E1F-AC44AEBBCA9A}"/>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520A-4F41-9E1F-AC44AEBBCA9A}"/>
              </c:ext>
            </c:extLst>
          </c:dPt>
          <c:cat>
            <c:strRef>
              <c:f>'Dashboard Pie Charts'!$C$5:$F$5</c:f>
              <c:strCache>
                <c:ptCount val="4"/>
                <c:pt idx="0">
                  <c:v>Excellent</c:v>
                </c:pt>
                <c:pt idx="1">
                  <c:v>Good</c:v>
                </c:pt>
                <c:pt idx="2">
                  <c:v>Opportunity</c:v>
                </c:pt>
                <c:pt idx="3">
                  <c:v>Not Answered</c:v>
                </c:pt>
              </c:strCache>
            </c:strRef>
          </c:cat>
          <c:val>
            <c:numRef>
              <c:f>'Dashboard Pie Charts'!$R$60:$U$60</c:f>
              <c:numCache>
                <c:formatCode>General</c:formatCode>
                <c:ptCount val="4"/>
                <c:pt idx="0">
                  <c:v>0</c:v>
                </c:pt>
                <c:pt idx="1">
                  <c:v>0</c:v>
                </c:pt>
                <c:pt idx="2">
                  <c:v>0</c:v>
                </c:pt>
                <c:pt idx="3">
                  <c:v>12</c:v>
                </c:pt>
              </c:numCache>
            </c:numRef>
          </c:val>
          <c:extLst>
            <c:ext xmlns:c16="http://schemas.microsoft.com/office/drawing/2014/chart" uri="{C3380CC4-5D6E-409C-BE32-E72D297353CC}">
              <c16:uniqueId val="{00000004-520A-4F41-9E1F-AC44AEBBCA9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7169033774"/>
          <c:y val="4.7619330247035699E-2"/>
        </c:manualLayout>
      </c:layout>
      <c:overlay val="0"/>
    </c:title>
    <c:autoTitleDeleted val="0"/>
    <c:plotArea>
      <c:layout/>
      <c:pieChart>
        <c:varyColors val="1"/>
        <c:ser>
          <c:idx val="0"/>
          <c:order val="0"/>
          <c:tx>
            <c:strRef>
              <c:f>'Dashboard Pie Charts'!$Q$61</c:f>
              <c:strCache>
                <c:ptCount val="1"/>
                <c:pt idx="0">
                  <c:v>2026</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47CD-4AC1-8753-364E3C5D58EC}"/>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47CD-4AC1-8753-364E3C5D58EC}"/>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47CD-4AC1-8753-364E3C5D58EC}"/>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47CD-4AC1-8753-364E3C5D58EC}"/>
              </c:ext>
            </c:extLst>
          </c:dPt>
          <c:cat>
            <c:strRef>
              <c:f>'Dashboard Pie Charts'!$C$5:$F$5</c:f>
              <c:strCache>
                <c:ptCount val="4"/>
                <c:pt idx="0">
                  <c:v>Excellent</c:v>
                </c:pt>
                <c:pt idx="1">
                  <c:v>Good</c:v>
                </c:pt>
                <c:pt idx="2">
                  <c:v>Opportunity</c:v>
                </c:pt>
                <c:pt idx="3">
                  <c:v>Not Answered</c:v>
                </c:pt>
              </c:strCache>
            </c:strRef>
          </c:cat>
          <c:val>
            <c:numRef>
              <c:f>'Dashboard Pie Charts'!$R$61:$U$61</c:f>
              <c:numCache>
                <c:formatCode>General</c:formatCode>
                <c:ptCount val="4"/>
                <c:pt idx="0">
                  <c:v>0</c:v>
                </c:pt>
                <c:pt idx="1">
                  <c:v>0</c:v>
                </c:pt>
                <c:pt idx="2">
                  <c:v>0</c:v>
                </c:pt>
                <c:pt idx="3">
                  <c:v>12</c:v>
                </c:pt>
              </c:numCache>
            </c:numRef>
          </c:val>
          <c:extLst>
            <c:ext xmlns:c16="http://schemas.microsoft.com/office/drawing/2014/chart" uri="{C3380CC4-5D6E-409C-BE32-E72D297353CC}">
              <c16:uniqueId val="{00000004-47CD-4AC1-8753-364E3C5D58E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5172434838"/>
          <c:y val="4.7619330247035699E-2"/>
        </c:manualLayout>
      </c:layout>
      <c:overlay val="0"/>
    </c:title>
    <c:autoTitleDeleted val="0"/>
    <c:plotArea>
      <c:layout/>
      <c:pieChart>
        <c:varyColors val="1"/>
        <c:ser>
          <c:idx val="0"/>
          <c:order val="0"/>
          <c:tx>
            <c:strRef>
              <c:f>'Dashboard Pie Charts'!$Q$62</c:f>
              <c:strCache>
                <c:ptCount val="1"/>
                <c:pt idx="0">
                  <c:v>2027</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0B3B-4E19-BC9E-4037040330BA}"/>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0B3B-4E19-BC9E-4037040330BA}"/>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0B3B-4E19-BC9E-4037040330BA}"/>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0B3B-4E19-BC9E-4037040330BA}"/>
              </c:ext>
            </c:extLst>
          </c:dPt>
          <c:cat>
            <c:strRef>
              <c:f>'Dashboard Pie Charts'!$C$5:$F$5</c:f>
              <c:strCache>
                <c:ptCount val="4"/>
                <c:pt idx="0">
                  <c:v>Excellent</c:v>
                </c:pt>
                <c:pt idx="1">
                  <c:v>Good</c:v>
                </c:pt>
                <c:pt idx="2">
                  <c:v>Opportunity</c:v>
                </c:pt>
                <c:pt idx="3">
                  <c:v>Not Answered</c:v>
                </c:pt>
              </c:strCache>
            </c:strRef>
          </c:cat>
          <c:val>
            <c:numRef>
              <c:f>'Dashboard Pie Charts'!$R$62:$U$62</c:f>
              <c:numCache>
                <c:formatCode>General</c:formatCode>
                <c:ptCount val="4"/>
                <c:pt idx="0">
                  <c:v>0</c:v>
                </c:pt>
                <c:pt idx="1">
                  <c:v>0</c:v>
                </c:pt>
                <c:pt idx="2">
                  <c:v>0</c:v>
                </c:pt>
                <c:pt idx="3">
                  <c:v>12</c:v>
                </c:pt>
              </c:numCache>
            </c:numRef>
          </c:val>
          <c:extLst>
            <c:ext xmlns:c16="http://schemas.microsoft.com/office/drawing/2014/chart" uri="{C3380CC4-5D6E-409C-BE32-E72D297353CC}">
              <c16:uniqueId val="{00000004-0B3B-4E19-BC9E-4037040330B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62450874363596121"/>
          <c:y val="4.7619330247035699E-2"/>
        </c:manualLayout>
      </c:layout>
      <c:overlay val="0"/>
    </c:title>
    <c:autoTitleDeleted val="0"/>
    <c:plotArea>
      <c:layout>
        <c:manualLayout>
          <c:layoutTarget val="inner"/>
          <c:xMode val="edge"/>
          <c:yMode val="edge"/>
          <c:x val="0.59283069042235859"/>
          <c:y val="0.33313523309586335"/>
          <c:w val="0.29886366858901842"/>
          <c:h val="0.57956317960254922"/>
        </c:manualLayout>
      </c:layout>
      <c:pieChart>
        <c:varyColors val="1"/>
        <c:ser>
          <c:idx val="1"/>
          <c:order val="0"/>
          <c:tx>
            <c:strRef>
              <c:f>'Dashboard Pie Charts'!$B$84</c:f>
              <c:strCache>
                <c:ptCount val="1"/>
                <c:pt idx="0">
                  <c:v>2023</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08E4-4BB4-9A1E-B45025FFEBBB}"/>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08E4-4BB4-9A1E-B45025FFEBBB}"/>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08E4-4BB4-9A1E-B45025FFEBBB}"/>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08E4-4BB4-9A1E-B45025FFEBBB}"/>
              </c:ext>
            </c:extLst>
          </c:dPt>
          <c:cat>
            <c:strRef>
              <c:f>'Dashboard Pie Charts'!$C$83:$F$83</c:f>
              <c:strCache>
                <c:ptCount val="4"/>
                <c:pt idx="0">
                  <c:v>Always</c:v>
                </c:pt>
                <c:pt idx="1">
                  <c:v>Sometimes</c:v>
                </c:pt>
                <c:pt idx="2">
                  <c:v>Never</c:v>
                </c:pt>
                <c:pt idx="3">
                  <c:v>Not Answered</c:v>
                </c:pt>
              </c:strCache>
            </c:strRef>
          </c:cat>
          <c:val>
            <c:numRef>
              <c:f>'Dashboard Pie Charts'!$C$84:$F$84</c:f>
              <c:numCache>
                <c:formatCode>General</c:formatCode>
                <c:ptCount val="4"/>
                <c:pt idx="0">
                  <c:v>0</c:v>
                </c:pt>
                <c:pt idx="1">
                  <c:v>0</c:v>
                </c:pt>
                <c:pt idx="2">
                  <c:v>0</c:v>
                </c:pt>
                <c:pt idx="3">
                  <c:v>48</c:v>
                </c:pt>
              </c:numCache>
            </c:numRef>
          </c:val>
          <c:extLst>
            <c:ext xmlns:c16="http://schemas.microsoft.com/office/drawing/2014/chart" uri="{C3380CC4-5D6E-409C-BE32-E72D297353CC}">
              <c16:uniqueId val="{00000004-08E4-4BB4-9A1E-B45025FFEBBB}"/>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5.3013629320431334E-2"/>
          <c:y val="0.23383848375736951"/>
          <c:w val="0.45784523922461506"/>
          <c:h val="0.97515662301006334"/>
        </c:manualLayout>
      </c:layout>
      <c:overlay val="0"/>
      <c:txPr>
        <a:bodyPr/>
        <a:lstStyle/>
        <a:p>
          <a:pPr rtl="0">
            <a:defRPr sz="1200" baseline="0"/>
          </a:pPr>
          <a:endParaRPr lang="en-US"/>
        </a:p>
      </c:txPr>
    </c:legend>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7169033774"/>
          <c:y val="4.7619330247035699E-2"/>
        </c:manualLayout>
      </c:layout>
      <c:overlay val="0"/>
    </c:title>
    <c:autoTitleDeleted val="0"/>
    <c:plotArea>
      <c:layout/>
      <c:pieChart>
        <c:varyColors val="1"/>
        <c:ser>
          <c:idx val="0"/>
          <c:order val="0"/>
          <c:tx>
            <c:strRef>
              <c:f>'Dashboard Pie Charts'!$B$85</c:f>
              <c:strCache>
                <c:ptCount val="1"/>
                <c:pt idx="0">
                  <c:v>2024</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E977-4587-AE1F-998C3B596DAB}"/>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E977-4587-AE1F-998C3B596DAB}"/>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E977-4587-AE1F-998C3B596DAB}"/>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E977-4587-AE1F-998C3B596DAB}"/>
              </c:ext>
            </c:extLst>
          </c:dPt>
          <c:cat>
            <c:strRef>
              <c:f>'Dashboard Pie Charts'!$K$5:$N$5</c:f>
              <c:strCache>
                <c:ptCount val="4"/>
                <c:pt idx="0">
                  <c:v>Always</c:v>
                </c:pt>
                <c:pt idx="1">
                  <c:v>Sometimes</c:v>
                </c:pt>
                <c:pt idx="2">
                  <c:v>Never</c:v>
                </c:pt>
                <c:pt idx="3">
                  <c:v>Not Answered</c:v>
                </c:pt>
              </c:strCache>
            </c:strRef>
          </c:cat>
          <c:val>
            <c:numRef>
              <c:f>'Dashboard Pie Charts'!$C$85:$F$85</c:f>
              <c:numCache>
                <c:formatCode>General</c:formatCode>
                <c:ptCount val="4"/>
                <c:pt idx="0">
                  <c:v>0</c:v>
                </c:pt>
                <c:pt idx="1">
                  <c:v>0</c:v>
                </c:pt>
                <c:pt idx="2">
                  <c:v>0</c:v>
                </c:pt>
                <c:pt idx="3">
                  <c:v>48</c:v>
                </c:pt>
              </c:numCache>
            </c:numRef>
          </c:val>
          <c:extLst>
            <c:ext xmlns:c16="http://schemas.microsoft.com/office/drawing/2014/chart" uri="{C3380CC4-5D6E-409C-BE32-E72D297353CC}">
              <c16:uniqueId val="{00000004-E977-4587-AE1F-998C3B596DA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5172434838"/>
          <c:y val="4.7618766404199472E-2"/>
        </c:manualLayout>
      </c:layout>
      <c:overlay val="0"/>
    </c:title>
    <c:autoTitleDeleted val="0"/>
    <c:plotArea>
      <c:layout/>
      <c:pieChart>
        <c:varyColors val="1"/>
        <c:ser>
          <c:idx val="0"/>
          <c:order val="0"/>
          <c:tx>
            <c:strRef>
              <c:f>'Dashboard Pie Charts'!$B$86</c:f>
              <c:strCache>
                <c:ptCount val="1"/>
                <c:pt idx="0">
                  <c:v>2025</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02D6-4B4D-905B-FA45A6E5D857}"/>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02D6-4B4D-905B-FA45A6E5D857}"/>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02D6-4B4D-905B-FA45A6E5D857}"/>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02D6-4B4D-905B-FA45A6E5D857}"/>
              </c:ext>
            </c:extLst>
          </c:dPt>
          <c:cat>
            <c:strRef>
              <c:f>'Dashboard Pie Charts'!$C$5:$F$5</c:f>
              <c:strCache>
                <c:ptCount val="4"/>
                <c:pt idx="0">
                  <c:v>Excellent</c:v>
                </c:pt>
                <c:pt idx="1">
                  <c:v>Good</c:v>
                </c:pt>
                <c:pt idx="2">
                  <c:v>Opportunity</c:v>
                </c:pt>
                <c:pt idx="3">
                  <c:v>Not Answered</c:v>
                </c:pt>
              </c:strCache>
            </c:strRef>
          </c:cat>
          <c:val>
            <c:numRef>
              <c:f>'Dashboard Pie Charts'!$C$86:$F$86</c:f>
              <c:numCache>
                <c:formatCode>General</c:formatCode>
                <c:ptCount val="4"/>
                <c:pt idx="0">
                  <c:v>0</c:v>
                </c:pt>
                <c:pt idx="1">
                  <c:v>0</c:v>
                </c:pt>
                <c:pt idx="2">
                  <c:v>0</c:v>
                </c:pt>
                <c:pt idx="3">
                  <c:v>48</c:v>
                </c:pt>
              </c:numCache>
            </c:numRef>
          </c:val>
          <c:extLst>
            <c:ext xmlns:c16="http://schemas.microsoft.com/office/drawing/2014/chart" uri="{C3380CC4-5D6E-409C-BE32-E72D297353CC}">
              <c16:uniqueId val="{00000004-02D6-4B4D-905B-FA45A6E5D85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5172434838"/>
          <c:y val="4.7619330247035699E-2"/>
        </c:manualLayout>
      </c:layout>
      <c:overlay val="0"/>
    </c:title>
    <c:autoTitleDeleted val="0"/>
    <c:plotArea>
      <c:layout/>
      <c:pieChart>
        <c:varyColors val="1"/>
        <c:ser>
          <c:idx val="0"/>
          <c:order val="0"/>
          <c:tx>
            <c:strRef>
              <c:f>'Dashboard Pie Charts'!$B$87</c:f>
              <c:strCache>
                <c:ptCount val="1"/>
                <c:pt idx="0">
                  <c:v>2026</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780C-426B-BF7F-9B9CCCAEFF9F}"/>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780C-426B-BF7F-9B9CCCAEFF9F}"/>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780C-426B-BF7F-9B9CCCAEFF9F}"/>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780C-426B-BF7F-9B9CCCAEFF9F}"/>
              </c:ext>
            </c:extLst>
          </c:dPt>
          <c:cat>
            <c:strRef>
              <c:f>'Dashboard Pie Charts'!$C$5:$F$5</c:f>
              <c:strCache>
                <c:ptCount val="4"/>
                <c:pt idx="0">
                  <c:v>Excellent</c:v>
                </c:pt>
                <c:pt idx="1">
                  <c:v>Good</c:v>
                </c:pt>
                <c:pt idx="2">
                  <c:v>Opportunity</c:v>
                </c:pt>
                <c:pt idx="3">
                  <c:v>Not Answered</c:v>
                </c:pt>
              </c:strCache>
            </c:strRef>
          </c:cat>
          <c:val>
            <c:numRef>
              <c:f>'Dashboard Pie Charts'!$C$87:$F$87</c:f>
              <c:numCache>
                <c:formatCode>General</c:formatCode>
                <c:ptCount val="4"/>
                <c:pt idx="0">
                  <c:v>0</c:v>
                </c:pt>
                <c:pt idx="1">
                  <c:v>0</c:v>
                </c:pt>
                <c:pt idx="2">
                  <c:v>0</c:v>
                </c:pt>
                <c:pt idx="3">
                  <c:v>48</c:v>
                </c:pt>
              </c:numCache>
            </c:numRef>
          </c:val>
          <c:extLst>
            <c:ext xmlns:c16="http://schemas.microsoft.com/office/drawing/2014/chart" uri="{C3380CC4-5D6E-409C-BE32-E72D297353CC}">
              <c16:uniqueId val="{00000004-780C-426B-BF7F-9B9CCCAEFF9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7169033774"/>
          <c:y val="4.7619330247035699E-2"/>
        </c:manualLayout>
      </c:layout>
      <c:overlay val="0"/>
    </c:title>
    <c:autoTitleDeleted val="0"/>
    <c:plotArea>
      <c:layout/>
      <c:pieChart>
        <c:varyColors val="1"/>
        <c:ser>
          <c:idx val="0"/>
          <c:order val="0"/>
          <c:tx>
            <c:strRef>
              <c:f>'Dashboard Pie Charts'!$B$88</c:f>
              <c:strCache>
                <c:ptCount val="1"/>
                <c:pt idx="0">
                  <c:v>2027</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0C99-49E5-8B65-1F62B9F47F98}"/>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0C99-49E5-8B65-1F62B9F47F98}"/>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0C99-49E5-8B65-1F62B9F47F98}"/>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0C99-49E5-8B65-1F62B9F47F98}"/>
              </c:ext>
            </c:extLst>
          </c:dPt>
          <c:cat>
            <c:strRef>
              <c:f>'Dashboard Pie Charts'!$C$5:$F$5</c:f>
              <c:strCache>
                <c:ptCount val="4"/>
                <c:pt idx="0">
                  <c:v>Excellent</c:v>
                </c:pt>
                <c:pt idx="1">
                  <c:v>Good</c:v>
                </c:pt>
                <c:pt idx="2">
                  <c:v>Opportunity</c:v>
                </c:pt>
                <c:pt idx="3">
                  <c:v>Not Answered</c:v>
                </c:pt>
              </c:strCache>
            </c:strRef>
          </c:cat>
          <c:val>
            <c:numRef>
              <c:f>'Dashboard Pie Charts'!$C$88:$F$88</c:f>
              <c:numCache>
                <c:formatCode>General</c:formatCode>
                <c:ptCount val="4"/>
                <c:pt idx="0">
                  <c:v>0</c:v>
                </c:pt>
                <c:pt idx="1">
                  <c:v>0</c:v>
                </c:pt>
                <c:pt idx="2">
                  <c:v>0</c:v>
                </c:pt>
                <c:pt idx="3">
                  <c:v>48</c:v>
                </c:pt>
              </c:numCache>
            </c:numRef>
          </c:val>
          <c:extLst>
            <c:ext xmlns:c16="http://schemas.microsoft.com/office/drawing/2014/chart" uri="{C3380CC4-5D6E-409C-BE32-E72D297353CC}">
              <c16:uniqueId val="{00000004-0C99-49E5-8B65-1F62B9F47F98}"/>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7169033774"/>
          <c:y val="4.7619330247035699E-2"/>
        </c:manualLayout>
      </c:layout>
      <c:overlay val="0"/>
    </c:title>
    <c:autoTitleDeleted val="0"/>
    <c:plotArea>
      <c:layout/>
      <c:pieChart>
        <c:varyColors val="1"/>
        <c:ser>
          <c:idx val="0"/>
          <c:order val="0"/>
          <c:tx>
            <c:strRef>
              <c:f>'Dashboard Pie Charts'!$B$10</c:f>
              <c:strCache>
                <c:ptCount val="1"/>
                <c:pt idx="0">
                  <c:v>2027</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6DF2-4243-BA2A-B61246649D29}"/>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6DF2-4243-BA2A-B61246649D29}"/>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6DF2-4243-BA2A-B61246649D29}"/>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6DF2-4243-BA2A-B61246649D29}"/>
              </c:ext>
            </c:extLst>
          </c:dPt>
          <c:cat>
            <c:strRef>
              <c:f>'Dashboard Pie Charts'!$C$5:$F$5</c:f>
              <c:strCache>
                <c:ptCount val="4"/>
                <c:pt idx="0">
                  <c:v>Excellent</c:v>
                </c:pt>
                <c:pt idx="1">
                  <c:v>Good</c:v>
                </c:pt>
                <c:pt idx="2">
                  <c:v>Opportunity</c:v>
                </c:pt>
                <c:pt idx="3">
                  <c:v>Not Answered</c:v>
                </c:pt>
              </c:strCache>
            </c:strRef>
          </c:cat>
          <c:val>
            <c:numRef>
              <c:f>'Dashboard Pie Charts'!$C$10:$F$10</c:f>
              <c:numCache>
                <c:formatCode>General</c:formatCode>
                <c:ptCount val="4"/>
                <c:pt idx="0">
                  <c:v>0</c:v>
                </c:pt>
                <c:pt idx="1">
                  <c:v>0</c:v>
                </c:pt>
                <c:pt idx="2">
                  <c:v>0</c:v>
                </c:pt>
                <c:pt idx="3">
                  <c:v>49</c:v>
                </c:pt>
              </c:numCache>
            </c:numRef>
          </c:val>
          <c:extLst>
            <c:ext xmlns:c16="http://schemas.microsoft.com/office/drawing/2014/chart" uri="{C3380CC4-5D6E-409C-BE32-E72D297353CC}">
              <c16:uniqueId val="{00000004-6DF2-4243-BA2A-B61246649D2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6367865161433135"/>
          <c:y val="5.5555335733787042E-2"/>
        </c:manualLayout>
      </c:layout>
      <c:overlay val="0"/>
    </c:title>
    <c:autoTitleDeleted val="0"/>
    <c:plotArea>
      <c:layout>
        <c:manualLayout>
          <c:layoutTarget val="inner"/>
          <c:xMode val="edge"/>
          <c:yMode val="edge"/>
          <c:x val="0.59793712441317581"/>
          <c:y val="0.33313523309586335"/>
          <c:w val="0.29886366858901842"/>
          <c:h val="0.57956317960254922"/>
        </c:manualLayout>
      </c:layout>
      <c:pieChart>
        <c:varyColors val="1"/>
        <c:ser>
          <c:idx val="1"/>
          <c:order val="0"/>
          <c:tx>
            <c:strRef>
              <c:f>'Dashboard Pie Charts'!$B$32</c:f>
              <c:strCache>
                <c:ptCount val="1"/>
                <c:pt idx="0">
                  <c:v>2023</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7520-4F90-8371-C81ED207455E}"/>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7520-4F90-8371-C81ED207455E}"/>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7520-4F90-8371-C81ED207455E}"/>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7520-4F90-8371-C81ED207455E}"/>
              </c:ext>
            </c:extLst>
          </c:dPt>
          <c:cat>
            <c:strRef>
              <c:f>'Dashboard Pie Charts'!$C$31:$F$31</c:f>
              <c:strCache>
                <c:ptCount val="4"/>
                <c:pt idx="0">
                  <c:v>Excellent</c:v>
                </c:pt>
                <c:pt idx="1">
                  <c:v>Good</c:v>
                </c:pt>
                <c:pt idx="2">
                  <c:v>Opportunity</c:v>
                </c:pt>
                <c:pt idx="3">
                  <c:v>Not Answered</c:v>
                </c:pt>
              </c:strCache>
            </c:strRef>
          </c:cat>
          <c:val>
            <c:numRef>
              <c:f>'Dashboard Pie Charts'!$C$32:$F$32</c:f>
              <c:numCache>
                <c:formatCode>General</c:formatCode>
                <c:ptCount val="4"/>
                <c:pt idx="0">
                  <c:v>0</c:v>
                </c:pt>
                <c:pt idx="1">
                  <c:v>0</c:v>
                </c:pt>
                <c:pt idx="2">
                  <c:v>0</c:v>
                </c:pt>
                <c:pt idx="3">
                  <c:v>15</c:v>
                </c:pt>
              </c:numCache>
            </c:numRef>
          </c:val>
          <c:extLst>
            <c:ext xmlns:c16="http://schemas.microsoft.com/office/drawing/2014/chart" uri="{C3380CC4-5D6E-409C-BE32-E72D297353CC}">
              <c16:uniqueId val="{00000004-7520-4F90-8371-C81ED207455E}"/>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6.5062138317047713E-2"/>
          <c:y val="0.20896213350215645"/>
          <c:w val="0.40483160990418371"/>
          <c:h val="0.74131813925269385"/>
        </c:manualLayout>
      </c:layout>
      <c:overlay val="0"/>
      <c:txPr>
        <a:bodyPr/>
        <a:lstStyle/>
        <a:p>
          <a:pPr rtl="0">
            <a:defRPr sz="1200" baseline="0"/>
          </a:pPr>
          <a:endParaRPr lang="en-US"/>
        </a:p>
      </c:txPr>
    </c:legend>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133"/>
      <c:rotY val="30"/>
      <c:depthPercent val="100"/>
      <c:rAngAx val="0"/>
      <c:perspective val="0"/>
    </c:view3D>
    <c:floor>
      <c:thickness val="0"/>
    </c:floor>
    <c:sideWall>
      <c:thickness val="0"/>
    </c:sideWall>
    <c:backWall>
      <c:thickness val="0"/>
    </c:backWall>
    <c:plotArea>
      <c:layout>
        <c:manualLayout>
          <c:layoutTarget val="inner"/>
          <c:xMode val="edge"/>
          <c:yMode val="edge"/>
          <c:x val="9.9792172875174723E-2"/>
          <c:y val="5.3760207057451222E-2"/>
          <c:w val="0.68301255668414662"/>
          <c:h val="0.85340806357538701"/>
        </c:manualLayout>
      </c:layout>
      <c:bar3DChart>
        <c:barDir val="bar"/>
        <c:grouping val="clustered"/>
        <c:varyColors val="0"/>
        <c:ser>
          <c:idx val="1"/>
          <c:order val="0"/>
          <c:tx>
            <c:strRef>
              <c:f>'Dashboard Bar Charts'!$B$5</c:f>
              <c:strCache>
                <c:ptCount val="1"/>
                <c:pt idx="0">
                  <c:v>Excellent</c:v>
                </c:pt>
              </c:strCache>
            </c:strRef>
          </c:tx>
          <c:spPr>
            <a:solidFill>
              <a:srgbClr val="92D050"/>
            </a:solidFill>
          </c:spPr>
          <c:invertIfNegative val="0"/>
          <c:cat>
            <c:numRef>
              <c:f>'Dashboard Bar Charts'!$A$6:$A$10</c:f>
              <c:numCache>
                <c:formatCode>General</c:formatCode>
                <c:ptCount val="5"/>
                <c:pt idx="0">
                  <c:v>2023</c:v>
                </c:pt>
                <c:pt idx="1">
                  <c:v>2024</c:v>
                </c:pt>
                <c:pt idx="2">
                  <c:v>2025</c:v>
                </c:pt>
                <c:pt idx="3">
                  <c:v>2026</c:v>
                </c:pt>
                <c:pt idx="4">
                  <c:v>2027</c:v>
                </c:pt>
              </c:numCache>
            </c:numRef>
          </c:cat>
          <c:val>
            <c:numRef>
              <c:f>'Dashboard Bar Charts'!$B$6:$B$10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925B-4FDB-99A1-384A7442B6B2}"/>
            </c:ext>
          </c:extLst>
        </c:ser>
        <c:ser>
          <c:idx val="2"/>
          <c:order val="1"/>
          <c:tx>
            <c:strRef>
              <c:f>'Dashboard Bar Charts'!$C$5</c:f>
              <c:strCache>
                <c:ptCount val="1"/>
                <c:pt idx="0">
                  <c:v>Good</c:v>
                </c:pt>
              </c:strCache>
            </c:strRef>
          </c:tx>
          <c:spPr>
            <a:solidFill>
              <a:srgbClr val="FFFF00"/>
            </a:solidFill>
          </c:spPr>
          <c:invertIfNegative val="0"/>
          <c:cat>
            <c:numRef>
              <c:f>'Dashboard Bar Charts'!$A$6:$A$10</c:f>
              <c:numCache>
                <c:formatCode>General</c:formatCode>
                <c:ptCount val="5"/>
                <c:pt idx="0">
                  <c:v>2023</c:v>
                </c:pt>
                <c:pt idx="1">
                  <c:v>2024</c:v>
                </c:pt>
                <c:pt idx="2">
                  <c:v>2025</c:v>
                </c:pt>
                <c:pt idx="3">
                  <c:v>2026</c:v>
                </c:pt>
                <c:pt idx="4">
                  <c:v>2027</c:v>
                </c:pt>
              </c:numCache>
            </c:numRef>
          </c:cat>
          <c:val>
            <c:numRef>
              <c:f>'Dashboard Bar Charts'!$C$6:$C$10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925B-4FDB-99A1-384A7442B6B2}"/>
            </c:ext>
          </c:extLst>
        </c:ser>
        <c:ser>
          <c:idx val="3"/>
          <c:order val="2"/>
          <c:tx>
            <c:strRef>
              <c:f>'Dashboard Bar Charts'!$D$5</c:f>
              <c:strCache>
                <c:ptCount val="1"/>
                <c:pt idx="0">
                  <c:v>Opportunity</c:v>
                </c:pt>
              </c:strCache>
            </c:strRef>
          </c:tx>
          <c:spPr>
            <a:solidFill>
              <a:srgbClr val="FF0000"/>
            </a:solidFill>
          </c:spPr>
          <c:invertIfNegative val="0"/>
          <c:cat>
            <c:numRef>
              <c:f>'Dashboard Bar Charts'!$A$6:$A$10</c:f>
              <c:numCache>
                <c:formatCode>General</c:formatCode>
                <c:ptCount val="5"/>
                <c:pt idx="0">
                  <c:v>2023</c:v>
                </c:pt>
                <c:pt idx="1">
                  <c:v>2024</c:v>
                </c:pt>
                <c:pt idx="2">
                  <c:v>2025</c:v>
                </c:pt>
                <c:pt idx="3">
                  <c:v>2026</c:v>
                </c:pt>
                <c:pt idx="4">
                  <c:v>2027</c:v>
                </c:pt>
              </c:numCache>
            </c:numRef>
          </c:cat>
          <c:val>
            <c:numRef>
              <c:f>'Dashboard Bar Charts'!$D$6:$D$10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925B-4FDB-99A1-384A7442B6B2}"/>
            </c:ext>
          </c:extLst>
        </c:ser>
        <c:ser>
          <c:idx val="4"/>
          <c:order val="3"/>
          <c:tx>
            <c:strRef>
              <c:f>'Dashboard Bar Charts'!$E$5</c:f>
              <c:strCache>
                <c:ptCount val="1"/>
                <c:pt idx="0">
                  <c:v>Not Answered</c:v>
                </c:pt>
              </c:strCache>
            </c:strRef>
          </c:tx>
          <c:spPr>
            <a:solidFill>
              <a:schemeClr val="bg1">
                <a:lumMod val="85000"/>
              </a:schemeClr>
            </a:solidFill>
          </c:spPr>
          <c:invertIfNegative val="0"/>
          <c:cat>
            <c:numRef>
              <c:f>'Dashboard Bar Charts'!$A$6:$A$10</c:f>
              <c:numCache>
                <c:formatCode>General</c:formatCode>
                <c:ptCount val="5"/>
                <c:pt idx="0">
                  <c:v>2023</c:v>
                </c:pt>
                <c:pt idx="1">
                  <c:v>2024</c:v>
                </c:pt>
                <c:pt idx="2">
                  <c:v>2025</c:v>
                </c:pt>
                <c:pt idx="3">
                  <c:v>2026</c:v>
                </c:pt>
                <c:pt idx="4">
                  <c:v>2027</c:v>
                </c:pt>
              </c:numCache>
            </c:numRef>
          </c:cat>
          <c:val>
            <c:numRef>
              <c:f>'Dashboard Bar Charts'!$E$6:$E$10</c:f>
              <c:numCache>
                <c:formatCode>General</c:formatCode>
                <c:ptCount val="5"/>
                <c:pt idx="0">
                  <c:v>49</c:v>
                </c:pt>
                <c:pt idx="1">
                  <c:v>49</c:v>
                </c:pt>
                <c:pt idx="2">
                  <c:v>49</c:v>
                </c:pt>
                <c:pt idx="3">
                  <c:v>49</c:v>
                </c:pt>
                <c:pt idx="4">
                  <c:v>49</c:v>
                </c:pt>
              </c:numCache>
            </c:numRef>
          </c:val>
          <c:extLst>
            <c:ext xmlns:c16="http://schemas.microsoft.com/office/drawing/2014/chart" uri="{C3380CC4-5D6E-409C-BE32-E72D297353CC}">
              <c16:uniqueId val="{00000003-925B-4FDB-99A1-384A7442B6B2}"/>
            </c:ext>
          </c:extLst>
        </c:ser>
        <c:dLbls>
          <c:showLegendKey val="0"/>
          <c:showVal val="0"/>
          <c:showCatName val="0"/>
          <c:showSerName val="0"/>
          <c:showPercent val="0"/>
          <c:showBubbleSize val="0"/>
        </c:dLbls>
        <c:gapWidth val="150"/>
        <c:shape val="cylinder"/>
        <c:axId val="874805887"/>
        <c:axId val="1"/>
        <c:axId val="0"/>
      </c:bar3DChart>
      <c:catAx>
        <c:axId val="874805887"/>
        <c:scaling>
          <c:orientation val="minMax"/>
        </c:scaling>
        <c:delete val="0"/>
        <c:axPos val="l"/>
        <c:majorGridlines/>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b"/>
        <c:numFmt formatCode="General" sourceLinked="1"/>
        <c:majorTickMark val="out"/>
        <c:minorTickMark val="none"/>
        <c:tickLblPos val="nextTo"/>
        <c:crossAx val="874805887"/>
        <c:crosses val="autoZero"/>
        <c:crossBetween val="between"/>
      </c:valAx>
      <c:spPr>
        <a:noFill/>
        <a:ln w="25400">
          <a:noFill/>
        </a:ln>
      </c:spPr>
    </c:plotArea>
    <c:legend>
      <c:legendPos val="r"/>
      <c:layout>
        <c:manualLayout>
          <c:xMode val="edge"/>
          <c:yMode val="edge"/>
          <c:wMode val="edge"/>
          <c:hMode val="edge"/>
          <c:x val="0.69084396558669259"/>
          <c:y val="0.33748012101935537"/>
          <c:w val="0.98876034074092911"/>
          <c:h val="0.77918202035090445"/>
        </c:manualLayout>
      </c:layout>
      <c:overlay val="0"/>
      <c:txPr>
        <a:bodyPr/>
        <a:lstStyle/>
        <a:p>
          <a:pPr rtl="0">
            <a:defRPr/>
          </a:pPr>
          <a:endParaRPr lang="en-US"/>
        </a:p>
      </c:txPr>
    </c:legend>
    <c:plotVisOnly val="1"/>
    <c:dispBlanksAs val="gap"/>
    <c:showDLblsOverMax val="0"/>
  </c:chart>
  <c:printSettings>
    <c:headerFooter/>
    <c:pageMargins b="0.75000000000000044" l="0.7000000000000004" r="0.7000000000000004" t="0.75000000000000044" header="0.30000000000000021" footer="0.30000000000000021"/>
    <c:pageSetup orientation="landscape"/>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134"/>
      <c:rotY val="30"/>
      <c:depthPercent val="100"/>
      <c:rAngAx val="0"/>
      <c:perspective val="0"/>
    </c:view3D>
    <c:floor>
      <c:thickness val="0"/>
    </c:floor>
    <c:sideWall>
      <c:thickness val="0"/>
    </c:sideWall>
    <c:backWall>
      <c:thickness val="0"/>
    </c:backWall>
    <c:plotArea>
      <c:layout>
        <c:manualLayout>
          <c:layoutTarget val="inner"/>
          <c:xMode val="edge"/>
          <c:yMode val="edge"/>
          <c:x val="9.6222000923919165E-2"/>
          <c:y val="4.9130577427821585E-2"/>
          <c:w val="0.68399136826571361"/>
          <c:h val="0.85803769320501644"/>
        </c:manualLayout>
      </c:layout>
      <c:bar3DChart>
        <c:barDir val="bar"/>
        <c:grouping val="clustered"/>
        <c:varyColors val="0"/>
        <c:ser>
          <c:idx val="1"/>
          <c:order val="0"/>
          <c:tx>
            <c:strRef>
              <c:f>'Dashboard Bar Charts'!$J$31</c:f>
              <c:strCache>
                <c:ptCount val="1"/>
                <c:pt idx="0">
                  <c:v>Yes</c:v>
                </c:pt>
              </c:strCache>
            </c:strRef>
          </c:tx>
          <c:spPr>
            <a:solidFill>
              <a:srgbClr val="92D050"/>
            </a:solidFill>
          </c:spPr>
          <c:invertIfNegative val="0"/>
          <c:cat>
            <c:numRef>
              <c:f>'Dashboard Bar Charts'!$I$32:$I$36</c:f>
              <c:numCache>
                <c:formatCode>General</c:formatCode>
                <c:ptCount val="5"/>
                <c:pt idx="0">
                  <c:v>2023</c:v>
                </c:pt>
                <c:pt idx="1">
                  <c:v>2024</c:v>
                </c:pt>
                <c:pt idx="2">
                  <c:v>2025</c:v>
                </c:pt>
                <c:pt idx="3">
                  <c:v>2026</c:v>
                </c:pt>
                <c:pt idx="4">
                  <c:v>2027</c:v>
                </c:pt>
              </c:numCache>
            </c:numRef>
          </c:cat>
          <c:val>
            <c:numRef>
              <c:f>'Dashboard Bar Charts'!$J$32:$J$36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2885-4C8C-A28B-7316D3F7CD82}"/>
            </c:ext>
          </c:extLst>
        </c:ser>
        <c:ser>
          <c:idx val="3"/>
          <c:order val="1"/>
          <c:tx>
            <c:strRef>
              <c:f>'Dashboard Bar Charts'!$L$31</c:f>
              <c:strCache>
                <c:ptCount val="1"/>
                <c:pt idx="0">
                  <c:v>No</c:v>
                </c:pt>
              </c:strCache>
            </c:strRef>
          </c:tx>
          <c:spPr>
            <a:solidFill>
              <a:srgbClr val="FF0000"/>
            </a:solidFill>
          </c:spPr>
          <c:invertIfNegative val="0"/>
          <c:cat>
            <c:numRef>
              <c:f>'Dashboard Bar Charts'!$I$32:$I$36</c:f>
              <c:numCache>
                <c:formatCode>General</c:formatCode>
                <c:ptCount val="5"/>
                <c:pt idx="0">
                  <c:v>2023</c:v>
                </c:pt>
                <c:pt idx="1">
                  <c:v>2024</c:v>
                </c:pt>
                <c:pt idx="2">
                  <c:v>2025</c:v>
                </c:pt>
                <c:pt idx="3">
                  <c:v>2026</c:v>
                </c:pt>
                <c:pt idx="4">
                  <c:v>2027</c:v>
                </c:pt>
              </c:numCache>
            </c:numRef>
          </c:cat>
          <c:val>
            <c:numRef>
              <c:f>'Dashboard Bar Charts'!$L$32:$L$36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2885-4C8C-A28B-7316D3F7CD82}"/>
            </c:ext>
          </c:extLst>
        </c:ser>
        <c:ser>
          <c:idx val="4"/>
          <c:order val="2"/>
          <c:tx>
            <c:strRef>
              <c:f>'Dashboard Bar Charts'!$M$31</c:f>
              <c:strCache>
                <c:ptCount val="1"/>
                <c:pt idx="0">
                  <c:v>Not Answered</c:v>
                </c:pt>
              </c:strCache>
            </c:strRef>
          </c:tx>
          <c:spPr>
            <a:solidFill>
              <a:schemeClr val="bg1">
                <a:lumMod val="85000"/>
              </a:schemeClr>
            </a:solidFill>
          </c:spPr>
          <c:invertIfNegative val="0"/>
          <c:cat>
            <c:numRef>
              <c:f>'Dashboard Bar Charts'!$I$32:$I$36</c:f>
              <c:numCache>
                <c:formatCode>General</c:formatCode>
                <c:ptCount val="5"/>
                <c:pt idx="0">
                  <c:v>2023</c:v>
                </c:pt>
                <c:pt idx="1">
                  <c:v>2024</c:v>
                </c:pt>
                <c:pt idx="2">
                  <c:v>2025</c:v>
                </c:pt>
                <c:pt idx="3">
                  <c:v>2026</c:v>
                </c:pt>
                <c:pt idx="4">
                  <c:v>2027</c:v>
                </c:pt>
              </c:numCache>
            </c:numRef>
          </c:cat>
          <c:val>
            <c:numRef>
              <c:f>'Dashboard Bar Charts'!$M$32:$M$36</c:f>
              <c:numCache>
                <c:formatCode>General</c:formatCode>
                <c:ptCount val="5"/>
                <c:pt idx="0">
                  <c:v>21</c:v>
                </c:pt>
                <c:pt idx="1">
                  <c:v>21</c:v>
                </c:pt>
                <c:pt idx="2">
                  <c:v>21</c:v>
                </c:pt>
                <c:pt idx="3">
                  <c:v>21</c:v>
                </c:pt>
                <c:pt idx="4">
                  <c:v>21</c:v>
                </c:pt>
              </c:numCache>
            </c:numRef>
          </c:val>
          <c:extLst>
            <c:ext xmlns:c16="http://schemas.microsoft.com/office/drawing/2014/chart" uri="{C3380CC4-5D6E-409C-BE32-E72D297353CC}">
              <c16:uniqueId val="{00000002-2885-4C8C-A28B-7316D3F7CD82}"/>
            </c:ext>
          </c:extLst>
        </c:ser>
        <c:dLbls>
          <c:showLegendKey val="0"/>
          <c:showVal val="0"/>
          <c:showCatName val="0"/>
          <c:showSerName val="0"/>
          <c:showPercent val="0"/>
          <c:showBubbleSize val="0"/>
        </c:dLbls>
        <c:gapWidth val="150"/>
        <c:shape val="cylinder"/>
        <c:axId val="874804927"/>
        <c:axId val="1"/>
        <c:axId val="0"/>
      </c:bar3DChart>
      <c:catAx>
        <c:axId val="874804927"/>
        <c:scaling>
          <c:orientation val="minMax"/>
        </c:scaling>
        <c:delete val="0"/>
        <c:axPos val="l"/>
        <c:majorGridlines/>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b"/>
        <c:numFmt formatCode="General" sourceLinked="1"/>
        <c:majorTickMark val="out"/>
        <c:minorTickMark val="none"/>
        <c:tickLblPos val="nextTo"/>
        <c:crossAx val="874804927"/>
        <c:crosses val="autoZero"/>
        <c:crossBetween val="between"/>
      </c:valAx>
      <c:spPr>
        <a:noFill/>
        <a:ln w="25400">
          <a:noFill/>
        </a:ln>
      </c:spPr>
    </c:plotArea>
    <c:legend>
      <c:legendPos val="r"/>
      <c:layout>
        <c:manualLayout>
          <c:xMode val="edge"/>
          <c:yMode val="edge"/>
          <c:wMode val="edge"/>
          <c:hMode val="edge"/>
          <c:x val="0.74446917264322854"/>
          <c:y val="0.41688711324877498"/>
          <c:w val="0.99050896902218433"/>
          <c:h val="0.71218209792741427"/>
        </c:manualLayout>
      </c:layout>
      <c:overlay val="0"/>
      <c:txPr>
        <a:bodyPr/>
        <a:lstStyle/>
        <a:p>
          <a:pPr rtl="0">
            <a:defRPr sz="1200" baseline="0"/>
          </a:pPr>
          <a:endParaRPr lang="en-US"/>
        </a:p>
      </c:txPr>
    </c:legend>
    <c:plotVisOnly val="1"/>
    <c:dispBlanksAs val="gap"/>
    <c:showDLblsOverMax val="0"/>
  </c:chart>
  <c:printSettings>
    <c:headerFooter/>
    <c:pageMargins b="0.75000000000000044" l="0.7000000000000004" r="0.7000000000000004" t="0.75000000000000044" header="0.30000000000000021" footer="0.30000000000000021"/>
    <c:pageSetup orientation="portrait"/>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136"/>
      <c:rotY val="30"/>
      <c:depthPercent val="100"/>
      <c:rAngAx val="0"/>
      <c:perspective val="0"/>
    </c:view3D>
    <c:floor>
      <c:thickness val="0"/>
    </c:floor>
    <c:sideWall>
      <c:thickness val="0"/>
    </c:sideWall>
    <c:backWall>
      <c:thickness val="0"/>
    </c:backWall>
    <c:plotArea>
      <c:layout>
        <c:manualLayout>
          <c:layoutTarget val="inner"/>
          <c:xMode val="edge"/>
          <c:yMode val="edge"/>
          <c:x val="9.6223942480210656E-2"/>
          <c:y val="6.3019466316710418E-2"/>
          <c:w val="0.68400735797253687"/>
          <c:h val="0.84414880431612782"/>
        </c:manualLayout>
      </c:layout>
      <c:bar3DChart>
        <c:barDir val="bar"/>
        <c:grouping val="clustered"/>
        <c:varyColors val="0"/>
        <c:ser>
          <c:idx val="0"/>
          <c:order val="0"/>
          <c:tx>
            <c:strRef>
              <c:f>'Dashboard Bar Charts'!$B$31</c:f>
              <c:strCache>
                <c:ptCount val="1"/>
                <c:pt idx="0">
                  <c:v>Excellent</c:v>
                </c:pt>
              </c:strCache>
            </c:strRef>
          </c:tx>
          <c:spPr>
            <a:solidFill>
              <a:srgbClr val="92D050"/>
            </a:solidFill>
          </c:spPr>
          <c:invertIfNegative val="0"/>
          <c:cat>
            <c:numRef>
              <c:f>'Dashboard Bar Charts'!$A$32:$A$36</c:f>
              <c:numCache>
                <c:formatCode>General</c:formatCode>
                <c:ptCount val="5"/>
                <c:pt idx="0">
                  <c:v>2023</c:v>
                </c:pt>
                <c:pt idx="1">
                  <c:v>2024</c:v>
                </c:pt>
                <c:pt idx="2">
                  <c:v>2025</c:v>
                </c:pt>
                <c:pt idx="3">
                  <c:v>2026</c:v>
                </c:pt>
                <c:pt idx="4">
                  <c:v>2027</c:v>
                </c:pt>
              </c:numCache>
            </c:numRef>
          </c:cat>
          <c:val>
            <c:numRef>
              <c:f>'Dashboard Bar Charts'!$B$32:$B$36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6094-4FE2-967A-0D9DEF7C56DC}"/>
            </c:ext>
          </c:extLst>
        </c:ser>
        <c:ser>
          <c:idx val="1"/>
          <c:order val="1"/>
          <c:tx>
            <c:strRef>
              <c:f>'Dashboard Bar Charts'!$C$31</c:f>
              <c:strCache>
                <c:ptCount val="1"/>
                <c:pt idx="0">
                  <c:v>Good</c:v>
                </c:pt>
              </c:strCache>
            </c:strRef>
          </c:tx>
          <c:spPr>
            <a:solidFill>
              <a:srgbClr val="FFFF00"/>
            </a:solidFill>
          </c:spPr>
          <c:invertIfNegative val="0"/>
          <c:cat>
            <c:numRef>
              <c:f>'Dashboard Bar Charts'!$A$32:$A$36</c:f>
              <c:numCache>
                <c:formatCode>General</c:formatCode>
                <c:ptCount val="5"/>
                <c:pt idx="0">
                  <c:v>2023</c:v>
                </c:pt>
                <c:pt idx="1">
                  <c:v>2024</c:v>
                </c:pt>
                <c:pt idx="2">
                  <c:v>2025</c:v>
                </c:pt>
                <c:pt idx="3">
                  <c:v>2026</c:v>
                </c:pt>
                <c:pt idx="4">
                  <c:v>2027</c:v>
                </c:pt>
              </c:numCache>
            </c:numRef>
          </c:cat>
          <c:val>
            <c:numRef>
              <c:f>'Dashboard Bar Charts'!$C$32:$C$36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6094-4FE2-967A-0D9DEF7C56DC}"/>
            </c:ext>
          </c:extLst>
        </c:ser>
        <c:ser>
          <c:idx val="2"/>
          <c:order val="2"/>
          <c:tx>
            <c:strRef>
              <c:f>'Dashboard Bar Charts'!$D$31</c:f>
              <c:strCache>
                <c:ptCount val="1"/>
                <c:pt idx="0">
                  <c:v>Opportunity</c:v>
                </c:pt>
              </c:strCache>
            </c:strRef>
          </c:tx>
          <c:spPr>
            <a:solidFill>
              <a:srgbClr val="FF0000"/>
            </a:solidFill>
          </c:spPr>
          <c:invertIfNegative val="0"/>
          <c:cat>
            <c:numRef>
              <c:f>'Dashboard Bar Charts'!$A$32:$A$36</c:f>
              <c:numCache>
                <c:formatCode>General</c:formatCode>
                <c:ptCount val="5"/>
                <c:pt idx="0">
                  <c:v>2023</c:v>
                </c:pt>
                <c:pt idx="1">
                  <c:v>2024</c:v>
                </c:pt>
                <c:pt idx="2">
                  <c:v>2025</c:v>
                </c:pt>
                <c:pt idx="3">
                  <c:v>2026</c:v>
                </c:pt>
                <c:pt idx="4">
                  <c:v>2027</c:v>
                </c:pt>
              </c:numCache>
            </c:numRef>
          </c:cat>
          <c:val>
            <c:numRef>
              <c:f>'Dashboard Bar Charts'!$D$32:$D$36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6094-4FE2-967A-0D9DEF7C56DC}"/>
            </c:ext>
          </c:extLst>
        </c:ser>
        <c:ser>
          <c:idx val="3"/>
          <c:order val="3"/>
          <c:tx>
            <c:strRef>
              <c:f>'Dashboard Bar Charts'!$E$31</c:f>
              <c:strCache>
                <c:ptCount val="1"/>
                <c:pt idx="0">
                  <c:v>Not Answered</c:v>
                </c:pt>
              </c:strCache>
            </c:strRef>
          </c:tx>
          <c:spPr>
            <a:solidFill>
              <a:schemeClr val="bg1">
                <a:lumMod val="85000"/>
              </a:schemeClr>
            </a:solidFill>
          </c:spPr>
          <c:invertIfNegative val="0"/>
          <c:cat>
            <c:numRef>
              <c:f>'Dashboard Bar Charts'!$A$32:$A$36</c:f>
              <c:numCache>
                <c:formatCode>General</c:formatCode>
                <c:ptCount val="5"/>
                <c:pt idx="0">
                  <c:v>2023</c:v>
                </c:pt>
                <c:pt idx="1">
                  <c:v>2024</c:v>
                </c:pt>
                <c:pt idx="2">
                  <c:v>2025</c:v>
                </c:pt>
                <c:pt idx="3">
                  <c:v>2026</c:v>
                </c:pt>
                <c:pt idx="4">
                  <c:v>2027</c:v>
                </c:pt>
              </c:numCache>
            </c:numRef>
          </c:cat>
          <c:val>
            <c:numRef>
              <c:f>'Dashboard Bar Charts'!$E$32:$E$36</c:f>
              <c:numCache>
                <c:formatCode>General</c:formatCode>
                <c:ptCount val="5"/>
                <c:pt idx="0">
                  <c:v>15</c:v>
                </c:pt>
                <c:pt idx="1">
                  <c:v>15</c:v>
                </c:pt>
                <c:pt idx="2">
                  <c:v>15</c:v>
                </c:pt>
                <c:pt idx="3">
                  <c:v>15</c:v>
                </c:pt>
                <c:pt idx="4">
                  <c:v>15</c:v>
                </c:pt>
              </c:numCache>
            </c:numRef>
          </c:val>
          <c:extLst>
            <c:ext xmlns:c16="http://schemas.microsoft.com/office/drawing/2014/chart" uri="{C3380CC4-5D6E-409C-BE32-E72D297353CC}">
              <c16:uniqueId val="{00000003-6094-4FE2-967A-0D9DEF7C56DC}"/>
            </c:ext>
          </c:extLst>
        </c:ser>
        <c:dLbls>
          <c:showLegendKey val="0"/>
          <c:showVal val="0"/>
          <c:showCatName val="0"/>
          <c:showSerName val="0"/>
          <c:showPercent val="0"/>
          <c:showBubbleSize val="0"/>
        </c:dLbls>
        <c:gapWidth val="150"/>
        <c:shape val="cylinder"/>
        <c:axId val="874800127"/>
        <c:axId val="1"/>
        <c:axId val="0"/>
      </c:bar3DChart>
      <c:catAx>
        <c:axId val="874800127"/>
        <c:scaling>
          <c:orientation val="minMax"/>
        </c:scaling>
        <c:delete val="0"/>
        <c:axPos val="l"/>
        <c:majorGridlines/>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b"/>
        <c:numFmt formatCode="General" sourceLinked="1"/>
        <c:majorTickMark val="out"/>
        <c:minorTickMark val="none"/>
        <c:tickLblPos val="nextTo"/>
        <c:crossAx val="874800127"/>
        <c:crosses val="autoZero"/>
        <c:crossBetween val="between"/>
      </c:valAx>
      <c:spPr>
        <a:noFill/>
        <a:ln w="25400">
          <a:noFill/>
        </a:ln>
      </c:spPr>
    </c:plotArea>
    <c:legend>
      <c:legendPos val="r"/>
      <c:layout>
        <c:manualLayout>
          <c:xMode val="edge"/>
          <c:yMode val="edge"/>
          <c:wMode val="edge"/>
          <c:hMode val="edge"/>
          <c:x val="0.69208648879081203"/>
          <c:y val="0.34988751406074242"/>
          <c:w val="0.99050896902218444"/>
          <c:h val="0.77421906313434963"/>
        </c:manualLayout>
      </c:layout>
      <c:overlay val="0"/>
      <c:txPr>
        <a:bodyPr/>
        <a:lstStyle/>
        <a:p>
          <a:pPr rtl="0">
            <a:defRPr sz="1200" baseline="0"/>
          </a:pPr>
          <a:endParaRPr lang="en-US"/>
        </a:p>
      </c:txPr>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134"/>
      <c:rotY val="30"/>
      <c:depthPercent val="100"/>
      <c:rAngAx val="0"/>
      <c:perspective val="0"/>
    </c:view3D>
    <c:floor>
      <c:thickness val="0"/>
    </c:floor>
    <c:sideWall>
      <c:thickness val="0"/>
    </c:sideWall>
    <c:backWall>
      <c:thickness val="0"/>
    </c:backWall>
    <c:plotArea>
      <c:layout>
        <c:manualLayout>
          <c:layoutTarget val="inner"/>
          <c:xMode val="edge"/>
          <c:yMode val="edge"/>
          <c:x val="9.9222089716106757E-2"/>
          <c:y val="5.8389836687080796E-2"/>
          <c:w val="0.68101642601190759"/>
          <c:h val="0.84877843394575725"/>
        </c:manualLayout>
      </c:layout>
      <c:bar3DChart>
        <c:barDir val="bar"/>
        <c:grouping val="clustered"/>
        <c:varyColors val="0"/>
        <c:ser>
          <c:idx val="1"/>
          <c:order val="0"/>
          <c:tx>
            <c:strRef>
              <c:f>'Dashboard Bar Charts'!$B$57</c:f>
              <c:strCache>
                <c:ptCount val="1"/>
                <c:pt idx="0">
                  <c:v>Excellent</c:v>
                </c:pt>
              </c:strCache>
            </c:strRef>
          </c:tx>
          <c:spPr>
            <a:solidFill>
              <a:srgbClr val="92D050"/>
            </a:solidFill>
          </c:spPr>
          <c:invertIfNegative val="0"/>
          <c:cat>
            <c:numRef>
              <c:f>'Dashboard Bar Charts'!$A$58:$A$62</c:f>
              <c:numCache>
                <c:formatCode>General</c:formatCode>
                <c:ptCount val="5"/>
                <c:pt idx="0">
                  <c:v>2023</c:v>
                </c:pt>
                <c:pt idx="1">
                  <c:v>2024</c:v>
                </c:pt>
                <c:pt idx="2">
                  <c:v>2025</c:v>
                </c:pt>
                <c:pt idx="3">
                  <c:v>2026</c:v>
                </c:pt>
                <c:pt idx="4">
                  <c:v>2027</c:v>
                </c:pt>
              </c:numCache>
            </c:numRef>
          </c:cat>
          <c:val>
            <c:numRef>
              <c:f>'Dashboard Bar Charts'!$B$58:$B$62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CB6E-460E-B74A-DDEB3EE6B65C}"/>
            </c:ext>
          </c:extLst>
        </c:ser>
        <c:ser>
          <c:idx val="2"/>
          <c:order val="1"/>
          <c:tx>
            <c:strRef>
              <c:f>'Dashboard Bar Charts'!$C$57</c:f>
              <c:strCache>
                <c:ptCount val="1"/>
                <c:pt idx="0">
                  <c:v>Good</c:v>
                </c:pt>
              </c:strCache>
            </c:strRef>
          </c:tx>
          <c:spPr>
            <a:solidFill>
              <a:srgbClr val="FFFF00"/>
            </a:solidFill>
          </c:spPr>
          <c:invertIfNegative val="0"/>
          <c:cat>
            <c:numRef>
              <c:f>'Dashboard Bar Charts'!$A$58:$A$62</c:f>
              <c:numCache>
                <c:formatCode>General</c:formatCode>
                <c:ptCount val="5"/>
                <c:pt idx="0">
                  <c:v>2023</c:v>
                </c:pt>
                <c:pt idx="1">
                  <c:v>2024</c:v>
                </c:pt>
                <c:pt idx="2">
                  <c:v>2025</c:v>
                </c:pt>
                <c:pt idx="3">
                  <c:v>2026</c:v>
                </c:pt>
                <c:pt idx="4">
                  <c:v>2027</c:v>
                </c:pt>
              </c:numCache>
            </c:numRef>
          </c:cat>
          <c:val>
            <c:numRef>
              <c:f>'Dashboard Bar Charts'!$C$58:$C$62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CB6E-460E-B74A-DDEB3EE6B65C}"/>
            </c:ext>
          </c:extLst>
        </c:ser>
        <c:ser>
          <c:idx val="3"/>
          <c:order val="2"/>
          <c:tx>
            <c:strRef>
              <c:f>'Dashboard Bar Charts'!$D$57</c:f>
              <c:strCache>
                <c:ptCount val="1"/>
                <c:pt idx="0">
                  <c:v>Opportunity</c:v>
                </c:pt>
              </c:strCache>
            </c:strRef>
          </c:tx>
          <c:spPr>
            <a:solidFill>
              <a:srgbClr val="FF0000"/>
            </a:solidFill>
          </c:spPr>
          <c:invertIfNegative val="0"/>
          <c:cat>
            <c:numRef>
              <c:f>'Dashboard Bar Charts'!$A$58:$A$62</c:f>
              <c:numCache>
                <c:formatCode>General</c:formatCode>
                <c:ptCount val="5"/>
                <c:pt idx="0">
                  <c:v>2023</c:v>
                </c:pt>
                <c:pt idx="1">
                  <c:v>2024</c:v>
                </c:pt>
                <c:pt idx="2">
                  <c:v>2025</c:v>
                </c:pt>
                <c:pt idx="3">
                  <c:v>2026</c:v>
                </c:pt>
                <c:pt idx="4">
                  <c:v>2027</c:v>
                </c:pt>
              </c:numCache>
            </c:numRef>
          </c:cat>
          <c:val>
            <c:numRef>
              <c:f>'Dashboard Bar Charts'!$D$58:$D$62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CB6E-460E-B74A-DDEB3EE6B65C}"/>
            </c:ext>
          </c:extLst>
        </c:ser>
        <c:ser>
          <c:idx val="4"/>
          <c:order val="3"/>
          <c:tx>
            <c:strRef>
              <c:f>'Dashboard Bar Charts'!$E$57</c:f>
              <c:strCache>
                <c:ptCount val="1"/>
                <c:pt idx="0">
                  <c:v>Not Answered</c:v>
                </c:pt>
              </c:strCache>
            </c:strRef>
          </c:tx>
          <c:spPr>
            <a:solidFill>
              <a:schemeClr val="bg1">
                <a:lumMod val="85000"/>
              </a:schemeClr>
            </a:solidFill>
          </c:spPr>
          <c:invertIfNegative val="0"/>
          <c:cat>
            <c:numRef>
              <c:f>'Dashboard Bar Charts'!$A$58:$A$62</c:f>
              <c:numCache>
                <c:formatCode>General</c:formatCode>
                <c:ptCount val="5"/>
                <c:pt idx="0">
                  <c:v>2023</c:v>
                </c:pt>
                <c:pt idx="1">
                  <c:v>2024</c:v>
                </c:pt>
                <c:pt idx="2">
                  <c:v>2025</c:v>
                </c:pt>
                <c:pt idx="3">
                  <c:v>2026</c:v>
                </c:pt>
                <c:pt idx="4">
                  <c:v>2027</c:v>
                </c:pt>
              </c:numCache>
            </c:numRef>
          </c:cat>
          <c:val>
            <c:numRef>
              <c:f>'Dashboard Bar Charts'!$E$58:$E$62</c:f>
              <c:numCache>
                <c:formatCode>General</c:formatCode>
                <c:ptCount val="5"/>
                <c:pt idx="0">
                  <c:v>21</c:v>
                </c:pt>
                <c:pt idx="1">
                  <c:v>21</c:v>
                </c:pt>
                <c:pt idx="2">
                  <c:v>21</c:v>
                </c:pt>
                <c:pt idx="3">
                  <c:v>21</c:v>
                </c:pt>
                <c:pt idx="4">
                  <c:v>21</c:v>
                </c:pt>
              </c:numCache>
            </c:numRef>
          </c:val>
          <c:extLst>
            <c:ext xmlns:c16="http://schemas.microsoft.com/office/drawing/2014/chart" uri="{C3380CC4-5D6E-409C-BE32-E72D297353CC}">
              <c16:uniqueId val="{00000003-CB6E-460E-B74A-DDEB3EE6B65C}"/>
            </c:ext>
          </c:extLst>
        </c:ser>
        <c:dLbls>
          <c:showLegendKey val="0"/>
          <c:showVal val="0"/>
          <c:showCatName val="0"/>
          <c:showSerName val="0"/>
          <c:showPercent val="0"/>
          <c:showBubbleSize val="0"/>
        </c:dLbls>
        <c:gapWidth val="150"/>
        <c:shape val="cylinder"/>
        <c:axId val="874809727"/>
        <c:axId val="1"/>
        <c:axId val="0"/>
      </c:bar3DChart>
      <c:catAx>
        <c:axId val="874809727"/>
        <c:scaling>
          <c:orientation val="minMax"/>
        </c:scaling>
        <c:delete val="0"/>
        <c:axPos val="l"/>
        <c:majorGridlines/>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b"/>
        <c:numFmt formatCode="General" sourceLinked="1"/>
        <c:majorTickMark val="out"/>
        <c:minorTickMark val="none"/>
        <c:tickLblPos val="nextTo"/>
        <c:crossAx val="874809727"/>
        <c:crosses val="autoZero"/>
        <c:crossBetween val="between"/>
      </c:valAx>
      <c:spPr>
        <a:noFill/>
        <a:ln w="25400">
          <a:noFill/>
        </a:ln>
      </c:spPr>
    </c:plotArea>
    <c:legend>
      <c:legendPos val="r"/>
      <c:layout>
        <c:manualLayout>
          <c:xMode val="edge"/>
          <c:yMode val="edge"/>
          <c:wMode val="edge"/>
          <c:hMode val="edge"/>
          <c:x val="0.69843585435578515"/>
          <c:y val="0.35236897599102329"/>
          <c:w val="0.98892162763094105"/>
          <c:h val="0.77173770047785806"/>
        </c:manualLayout>
      </c:layout>
      <c:overlay val="0"/>
      <c:txPr>
        <a:bodyPr/>
        <a:lstStyle/>
        <a:p>
          <a:pPr rtl="0">
            <a:defRPr sz="1200" baseline="0"/>
          </a:pPr>
          <a:endParaRPr lang="en-US"/>
        </a:p>
      </c:txPr>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138"/>
      <c:rotY val="30"/>
      <c:depthPercent val="100"/>
      <c:rAngAx val="0"/>
      <c:perspective val="0"/>
    </c:view3D>
    <c:floor>
      <c:thickness val="0"/>
    </c:floor>
    <c:sideWall>
      <c:thickness val="0"/>
    </c:sideWall>
    <c:backWall>
      <c:thickness val="0"/>
    </c:backWall>
    <c:plotArea>
      <c:layout>
        <c:manualLayout>
          <c:layoutTarget val="inner"/>
          <c:xMode val="edge"/>
          <c:yMode val="edge"/>
          <c:x val="9.6233279089498552E-2"/>
          <c:y val="5.3760207057451222E-2"/>
          <c:w val="0.6870858663027487"/>
          <c:h val="0.85340806357538701"/>
        </c:manualLayout>
      </c:layout>
      <c:bar3DChart>
        <c:barDir val="bar"/>
        <c:grouping val="clustered"/>
        <c:varyColors val="0"/>
        <c:ser>
          <c:idx val="2"/>
          <c:order val="0"/>
          <c:tx>
            <c:strRef>
              <c:f>'Dashboard Bar Charts'!$B$83</c:f>
              <c:strCache>
                <c:ptCount val="1"/>
                <c:pt idx="0">
                  <c:v>Always</c:v>
                </c:pt>
              </c:strCache>
            </c:strRef>
          </c:tx>
          <c:spPr>
            <a:solidFill>
              <a:srgbClr val="92D050"/>
            </a:solidFill>
          </c:spPr>
          <c:invertIfNegative val="0"/>
          <c:cat>
            <c:numRef>
              <c:f>'Dashboard Bar Charts'!$A$84:$A$88</c:f>
              <c:numCache>
                <c:formatCode>General</c:formatCode>
                <c:ptCount val="5"/>
                <c:pt idx="0">
                  <c:v>2023</c:v>
                </c:pt>
                <c:pt idx="1">
                  <c:v>2024</c:v>
                </c:pt>
                <c:pt idx="2">
                  <c:v>2025</c:v>
                </c:pt>
                <c:pt idx="3">
                  <c:v>2026</c:v>
                </c:pt>
                <c:pt idx="4">
                  <c:v>2027</c:v>
                </c:pt>
              </c:numCache>
            </c:numRef>
          </c:cat>
          <c:val>
            <c:numRef>
              <c:f>'Dashboard Bar Charts'!$B$84:$B$88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2E1E-4DBE-A2D4-7011A599B1EA}"/>
            </c:ext>
          </c:extLst>
        </c:ser>
        <c:ser>
          <c:idx val="3"/>
          <c:order val="1"/>
          <c:tx>
            <c:strRef>
              <c:f>'Dashboard Bar Charts'!$C$83</c:f>
              <c:strCache>
                <c:ptCount val="1"/>
                <c:pt idx="0">
                  <c:v>Sometimes</c:v>
                </c:pt>
              </c:strCache>
            </c:strRef>
          </c:tx>
          <c:spPr>
            <a:solidFill>
              <a:srgbClr val="FFFF00"/>
            </a:solidFill>
          </c:spPr>
          <c:invertIfNegative val="0"/>
          <c:cat>
            <c:numRef>
              <c:f>'Dashboard Bar Charts'!$A$84:$A$88</c:f>
              <c:numCache>
                <c:formatCode>General</c:formatCode>
                <c:ptCount val="5"/>
                <c:pt idx="0">
                  <c:v>2023</c:v>
                </c:pt>
                <c:pt idx="1">
                  <c:v>2024</c:v>
                </c:pt>
                <c:pt idx="2">
                  <c:v>2025</c:v>
                </c:pt>
                <c:pt idx="3">
                  <c:v>2026</c:v>
                </c:pt>
                <c:pt idx="4">
                  <c:v>2027</c:v>
                </c:pt>
              </c:numCache>
            </c:numRef>
          </c:cat>
          <c:val>
            <c:numRef>
              <c:f>'Dashboard Bar Charts'!$C$84:$C$88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2E1E-4DBE-A2D4-7011A599B1EA}"/>
            </c:ext>
          </c:extLst>
        </c:ser>
        <c:ser>
          <c:idx val="4"/>
          <c:order val="2"/>
          <c:tx>
            <c:strRef>
              <c:f>'Dashboard Bar Charts'!$D$83</c:f>
              <c:strCache>
                <c:ptCount val="1"/>
                <c:pt idx="0">
                  <c:v>Never</c:v>
                </c:pt>
              </c:strCache>
            </c:strRef>
          </c:tx>
          <c:spPr>
            <a:solidFill>
              <a:srgbClr val="FF0000"/>
            </a:solidFill>
          </c:spPr>
          <c:invertIfNegative val="0"/>
          <c:cat>
            <c:numRef>
              <c:f>'Dashboard Bar Charts'!$A$84:$A$88</c:f>
              <c:numCache>
                <c:formatCode>General</c:formatCode>
                <c:ptCount val="5"/>
                <c:pt idx="0">
                  <c:v>2023</c:v>
                </c:pt>
                <c:pt idx="1">
                  <c:v>2024</c:v>
                </c:pt>
                <c:pt idx="2">
                  <c:v>2025</c:v>
                </c:pt>
                <c:pt idx="3">
                  <c:v>2026</c:v>
                </c:pt>
                <c:pt idx="4">
                  <c:v>2027</c:v>
                </c:pt>
              </c:numCache>
            </c:numRef>
          </c:cat>
          <c:val>
            <c:numRef>
              <c:f>'Dashboard Bar Charts'!$D$84:$D$88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2E1E-4DBE-A2D4-7011A599B1EA}"/>
            </c:ext>
          </c:extLst>
        </c:ser>
        <c:ser>
          <c:idx val="0"/>
          <c:order val="3"/>
          <c:tx>
            <c:strRef>
              <c:f>'Dashboard Bar Charts'!$E$83</c:f>
              <c:strCache>
                <c:ptCount val="1"/>
                <c:pt idx="0">
                  <c:v>Not Answered</c:v>
                </c:pt>
              </c:strCache>
            </c:strRef>
          </c:tx>
          <c:spPr>
            <a:solidFill>
              <a:schemeClr val="bg1">
                <a:lumMod val="85000"/>
              </a:schemeClr>
            </a:solidFill>
          </c:spPr>
          <c:invertIfNegative val="0"/>
          <c:cat>
            <c:numRef>
              <c:f>'Dashboard Bar Charts'!$A$84:$A$88</c:f>
              <c:numCache>
                <c:formatCode>General</c:formatCode>
                <c:ptCount val="5"/>
                <c:pt idx="0">
                  <c:v>2023</c:v>
                </c:pt>
                <c:pt idx="1">
                  <c:v>2024</c:v>
                </c:pt>
                <c:pt idx="2">
                  <c:v>2025</c:v>
                </c:pt>
                <c:pt idx="3">
                  <c:v>2026</c:v>
                </c:pt>
                <c:pt idx="4">
                  <c:v>2027</c:v>
                </c:pt>
              </c:numCache>
            </c:numRef>
          </c:cat>
          <c:val>
            <c:numRef>
              <c:f>'Dashboard Bar Charts'!$E$84:$E$88</c:f>
              <c:numCache>
                <c:formatCode>General</c:formatCode>
                <c:ptCount val="5"/>
                <c:pt idx="0">
                  <c:v>48</c:v>
                </c:pt>
                <c:pt idx="1">
                  <c:v>48</c:v>
                </c:pt>
                <c:pt idx="2">
                  <c:v>48</c:v>
                </c:pt>
                <c:pt idx="3">
                  <c:v>48</c:v>
                </c:pt>
                <c:pt idx="4">
                  <c:v>48</c:v>
                </c:pt>
              </c:numCache>
            </c:numRef>
          </c:val>
          <c:extLst>
            <c:ext xmlns:c16="http://schemas.microsoft.com/office/drawing/2014/chart" uri="{C3380CC4-5D6E-409C-BE32-E72D297353CC}">
              <c16:uniqueId val="{00000003-2E1E-4DBE-A2D4-7011A599B1EA}"/>
            </c:ext>
          </c:extLst>
        </c:ser>
        <c:dLbls>
          <c:showLegendKey val="0"/>
          <c:showVal val="0"/>
          <c:showCatName val="0"/>
          <c:showSerName val="0"/>
          <c:showPercent val="0"/>
          <c:showBubbleSize val="0"/>
        </c:dLbls>
        <c:gapWidth val="150"/>
        <c:shape val="cylinder"/>
        <c:axId val="874789087"/>
        <c:axId val="1"/>
        <c:axId val="0"/>
      </c:bar3DChart>
      <c:catAx>
        <c:axId val="874789087"/>
        <c:scaling>
          <c:orientation val="minMax"/>
        </c:scaling>
        <c:delete val="0"/>
        <c:axPos val="l"/>
        <c:majorGridlines/>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b"/>
        <c:numFmt formatCode="General" sourceLinked="1"/>
        <c:majorTickMark val="out"/>
        <c:minorTickMark val="none"/>
        <c:tickLblPos val="nextTo"/>
        <c:crossAx val="874789087"/>
        <c:crosses val="autoZero"/>
        <c:crossBetween val="between"/>
      </c:valAx>
      <c:spPr>
        <a:noFill/>
        <a:ln w="25400">
          <a:noFill/>
        </a:ln>
      </c:spPr>
    </c:plotArea>
    <c:legend>
      <c:legendPos val="r"/>
      <c:layout>
        <c:manualLayout>
          <c:xMode val="edge"/>
          <c:yMode val="edge"/>
          <c:wMode val="edge"/>
          <c:hMode val="edge"/>
          <c:x val="0.69747490629166564"/>
          <c:y val="0.35370072112198098"/>
          <c:w val="0.98729319178553165"/>
          <c:h val="0.7684721228028315"/>
        </c:manualLayout>
      </c:layout>
      <c:overlay val="0"/>
      <c:txPr>
        <a:bodyPr/>
        <a:lstStyle/>
        <a:p>
          <a:pPr rtl="0">
            <a:defRPr sz="1200" baseline="0"/>
          </a:pPr>
          <a:endParaRPr lang="en-US"/>
        </a:p>
      </c:txPr>
    </c:legend>
    <c:plotVisOnly val="1"/>
    <c:dispBlanksAs val="gap"/>
    <c:showDLblsOverMax val="0"/>
  </c:chart>
  <c:printSettings>
    <c:headerFooter/>
    <c:pageMargins b="0.75000000000000044" l="0.7000000000000004" r="0.7000000000000004" t="0.75000000000000044" header="0.30000000000000021" footer="0.30000000000000021"/>
    <c:pageSetup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133"/>
      <c:rotY val="30"/>
      <c:depthPercent val="100"/>
      <c:rAngAx val="0"/>
      <c:perspective val="0"/>
    </c:view3D>
    <c:floor>
      <c:thickness val="0"/>
    </c:floor>
    <c:sideWall>
      <c:thickness val="0"/>
    </c:sideWall>
    <c:backWall>
      <c:thickness val="0"/>
    </c:backWall>
    <c:plotArea>
      <c:layout>
        <c:manualLayout>
          <c:layoutTarget val="inner"/>
          <c:xMode val="edge"/>
          <c:yMode val="edge"/>
          <c:x val="9.32276201311424E-2"/>
          <c:y val="4.9130577427821585E-2"/>
          <c:w val="0.6900123211427972"/>
          <c:h val="0.85803769320501644"/>
        </c:manualLayout>
      </c:layout>
      <c:bar3DChart>
        <c:barDir val="bar"/>
        <c:grouping val="clustered"/>
        <c:varyColors val="0"/>
        <c:ser>
          <c:idx val="2"/>
          <c:order val="0"/>
          <c:tx>
            <c:strRef>
              <c:f>'Dashboard Bar Charts'!$J$57</c:f>
              <c:strCache>
                <c:ptCount val="1"/>
                <c:pt idx="0">
                  <c:v>Yes</c:v>
                </c:pt>
              </c:strCache>
            </c:strRef>
          </c:tx>
          <c:spPr>
            <a:solidFill>
              <a:srgbClr val="92D050"/>
            </a:solidFill>
          </c:spPr>
          <c:invertIfNegative val="0"/>
          <c:cat>
            <c:numRef>
              <c:f>'Dashboard Bar Charts'!$I$58:$I$62</c:f>
              <c:numCache>
                <c:formatCode>General</c:formatCode>
                <c:ptCount val="5"/>
                <c:pt idx="0">
                  <c:v>2023</c:v>
                </c:pt>
                <c:pt idx="1">
                  <c:v>2024</c:v>
                </c:pt>
                <c:pt idx="2">
                  <c:v>2025</c:v>
                </c:pt>
                <c:pt idx="3">
                  <c:v>2026</c:v>
                </c:pt>
                <c:pt idx="4">
                  <c:v>2027</c:v>
                </c:pt>
              </c:numCache>
            </c:numRef>
          </c:cat>
          <c:val>
            <c:numRef>
              <c:f>'Dashboard Bar Charts'!$J$58:$J$62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DA5F-4A91-9930-E67E4DF22D18}"/>
            </c:ext>
          </c:extLst>
        </c:ser>
        <c:ser>
          <c:idx val="3"/>
          <c:order val="1"/>
          <c:tx>
            <c:strRef>
              <c:f>'Dashboard Bar Charts'!$K$57</c:f>
              <c:strCache>
                <c:ptCount val="1"/>
                <c:pt idx="0">
                  <c:v>Maybe</c:v>
                </c:pt>
              </c:strCache>
            </c:strRef>
          </c:tx>
          <c:spPr>
            <a:solidFill>
              <a:srgbClr val="FFFF00"/>
            </a:solidFill>
          </c:spPr>
          <c:invertIfNegative val="0"/>
          <c:cat>
            <c:numRef>
              <c:f>'Dashboard Bar Charts'!$I$58:$I$62</c:f>
              <c:numCache>
                <c:formatCode>General</c:formatCode>
                <c:ptCount val="5"/>
                <c:pt idx="0">
                  <c:v>2023</c:v>
                </c:pt>
                <c:pt idx="1">
                  <c:v>2024</c:v>
                </c:pt>
                <c:pt idx="2">
                  <c:v>2025</c:v>
                </c:pt>
                <c:pt idx="3">
                  <c:v>2026</c:v>
                </c:pt>
                <c:pt idx="4">
                  <c:v>2027</c:v>
                </c:pt>
              </c:numCache>
            </c:numRef>
          </c:cat>
          <c:val>
            <c:numRef>
              <c:f>'Dashboard Bar Charts'!$K$58:$K$62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DA5F-4A91-9930-E67E4DF22D18}"/>
            </c:ext>
          </c:extLst>
        </c:ser>
        <c:ser>
          <c:idx val="4"/>
          <c:order val="2"/>
          <c:tx>
            <c:strRef>
              <c:f>'Dashboard Bar Charts'!$L$57</c:f>
              <c:strCache>
                <c:ptCount val="1"/>
                <c:pt idx="0">
                  <c:v>No</c:v>
                </c:pt>
              </c:strCache>
            </c:strRef>
          </c:tx>
          <c:spPr>
            <a:solidFill>
              <a:srgbClr val="FF0000"/>
            </a:solidFill>
          </c:spPr>
          <c:invertIfNegative val="0"/>
          <c:cat>
            <c:numRef>
              <c:f>'Dashboard Bar Charts'!$I$58:$I$62</c:f>
              <c:numCache>
                <c:formatCode>General</c:formatCode>
                <c:ptCount val="5"/>
                <c:pt idx="0">
                  <c:v>2023</c:v>
                </c:pt>
                <c:pt idx="1">
                  <c:v>2024</c:v>
                </c:pt>
                <c:pt idx="2">
                  <c:v>2025</c:v>
                </c:pt>
                <c:pt idx="3">
                  <c:v>2026</c:v>
                </c:pt>
                <c:pt idx="4">
                  <c:v>2027</c:v>
                </c:pt>
              </c:numCache>
            </c:numRef>
          </c:cat>
          <c:val>
            <c:numRef>
              <c:f>'Dashboard Bar Charts'!$L$58:$L$62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DA5F-4A91-9930-E67E4DF22D18}"/>
            </c:ext>
          </c:extLst>
        </c:ser>
        <c:ser>
          <c:idx val="0"/>
          <c:order val="3"/>
          <c:tx>
            <c:strRef>
              <c:f>'Dashboard Bar Charts'!$M$57</c:f>
              <c:strCache>
                <c:ptCount val="1"/>
                <c:pt idx="0">
                  <c:v>Not Answered</c:v>
                </c:pt>
              </c:strCache>
            </c:strRef>
          </c:tx>
          <c:spPr>
            <a:solidFill>
              <a:schemeClr val="bg1">
                <a:lumMod val="85000"/>
              </a:schemeClr>
            </a:solidFill>
          </c:spPr>
          <c:invertIfNegative val="0"/>
          <c:cat>
            <c:numRef>
              <c:f>'Dashboard Bar Charts'!$I$58:$I$62</c:f>
              <c:numCache>
                <c:formatCode>General</c:formatCode>
                <c:ptCount val="5"/>
                <c:pt idx="0">
                  <c:v>2023</c:v>
                </c:pt>
                <c:pt idx="1">
                  <c:v>2024</c:v>
                </c:pt>
                <c:pt idx="2">
                  <c:v>2025</c:v>
                </c:pt>
                <c:pt idx="3">
                  <c:v>2026</c:v>
                </c:pt>
                <c:pt idx="4">
                  <c:v>2027</c:v>
                </c:pt>
              </c:numCache>
            </c:numRef>
          </c:cat>
          <c:val>
            <c:numRef>
              <c:f>'Dashboard Bar Charts'!$M$58:$M$62</c:f>
              <c:numCache>
                <c:formatCode>General</c:formatCode>
                <c:ptCount val="5"/>
                <c:pt idx="0">
                  <c:v>27</c:v>
                </c:pt>
                <c:pt idx="1">
                  <c:v>27</c:v>
                </c:pt>
                <c:pt idx="2">
                  <c:v>27</c:v>
                </c:pt>
                <c:pt idx="3">
                  <c:v>27</c:v>
                </c:pt>
                <c:pt idx="4">
                  <c:v>27</c:v>
                </c:pt>
              </c:numCache>
            </c:numRef>
          </c:val>
          <c:extLst>
            <c:ext xmlns:c16="http://schemas.microsoft.com/office/drawing/2014/chart" uri="{C3380CC4-5D6E-409C-BE32-E72D297353CC}">
              <c16:uniqueId val="{00000003-DA5F-4A91-9930-E67E4DF22D18}"/>
            </c:ext>
          </c:extLst>
        </c:ser>
        <c:dLbls>
          <c:showLegendKey val="0"/>
          <c:showVal val="0"/>
          <c:showCatName val="0"/>
          <c:showSerName val="0"/>
          <c:showPercent val="0"/>
          <c:showBubbleSize val="0"/>
        </c:dLbls>
        <c:gapWidth val="150"/>
        <c:shape val="cylinder"/>
        <c:axId val="874801567"/>
        <c:axId val="1"/>
        <c:axId val="0"/>
      </c:bar3DChart>
      <c:catAx>
        <c:axId val="874801567"/>
        <c:scaling>
          <c:orientation val="minMax"/>
        </c:scaling>
        <c:delete val="0"/>
        <c:axPos val="l"/>
        <c:majorGridlines/>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b"/>
        <c:numFmt formatCode="General" sourceLinked="1"/>
        <c:majorTickMark val="out"/>
        <c:minorTickMark val="none"/>
        <c:tickLblPos val="nextTo"/>
        <c:crossAx val="874801567"/>
        <c:crosses val="autoZero"/>
        <c:crossBetween val="between"/>
      </c:valAx>
      <c:spPr>
        <a:noFill/>
        <a:ln w="25400">
          <a:noFill/>
        </a:ln>
      </c:spPr>
    </c:plotArea>
    <c:legend>
      <c:legendPos val="r"/>
      <c:layout>
        <c:manualLayout>
          <c:xMode val="edge"/>
          <c:yMode val="edge"/>
          <c:wMode val="edge"/>
          <c:hMode val="edge"/>
          <c:x val="0.69567501558266442"/>
          <c:y val="0.34740596000438523"/>
          <c:w val="0.9903707614092665"/>
          <c:h val="0.75436714452462494"/>
        </c:manualLayout>
      </c:layout>
      <c:overlay val="0"/>
      <c:txPr>
        <a:bodyPr/>
        <a:lstStyle/>
        <a:p>
          <a:pPr rtl="0">
            <a:defRPr sz="1200" baseline="0"/>
          </a:pPr>
          <a:endParaRPr lang="en-US"/>
        </a:p>
      </c:txPr>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133"/>
      <c:rotY val="30"/>
      <c:depthPercent val="100"/>
      <c:rAngAx val="0"/>
      <c:perspective val="0"/>
    </c:view3D>
    <c:floor>
      <c:thickness val="0"/>
    </c:floor>
    <c:sideWall>
      <c:thickness val="0"/>
    </c:sideWall>
    <c:backWall>
      <c:thickness val="0"/>
    </c:backWall>
    <c:plotArea>
      <c:layout>
        <c:manualLayout>
          <c:layoutTarget val="inner"/>
          <c:xMode val="edge"/>
          <c:yMode val="edge"/>
          <c:x val="9.9205559880314945E-2"/>
          <c:y val="4.4500947798191907E-2"/>
          <c:w val="0.68394375997640389"/>
          <c:h val="0.86266732283464553"/>
        </c:manualLayout>
      </c:layout>
      <c:bar3DChart>
        <c:barDir val="bar"/>
        <c:grouping val="clustered"/>
        <c:varyColors val="0"/>
        <c:ser>
          <c:idx val="2"/>
          <c:order val="0"/>
          <c:tx>
            <c:strRef>
              <c:f>'Dashboard Bar Charts'!$Q$31</c:f>
              <c:strCache>
                <c:ptCount val="1"/>
                <c:pt idx="0">
                  <c:v>Always</c:v>
                </c:pt>
              </c:strCache>
            </c:strRef>
          </c:tx>
          <c:spPr>
            <a:solidFill>
              <a:srgbClr val="92D050"/>
            </a:solidFill>
          </c:spPr>
          <c:invertIfNegative val="0"/>
          <c:cat>
            <c:numRef>
              <c:f>'Dashboard Bar Charts'!$P$32:$P$36</c:f>
              <c:numCache>
                <c:formatCode>General</c:formatCode>
                <c:ptCount val="5"/>
                <c:pt idx="0">
                  <c:v>2023</c:v>
                </c:pt>
                <c:pt idx="1">
                  <c:v>2024</c:v>
                </c:pt>
                <c:pt idx="2">
                  <c:v>2025</c:v>
                </c:pt>
                <c:pt idx="3">
                  <c:v>2026</c:v>
                </c:pt>
                <c:pt idx="4">
                  <c:v>2027</c:v>
                </c:pt>
              </c:numCache>
            </c:numRef>
          </c:cat>
          <c:val>
            <c:numRef>
              <c:f>'Dashboard Bar Charts'!$Q$32:$Q$36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64E8-428F-851D-8F31D85A530A}"/>
            </c:ext>
          </c:extLst>
        </c:ser>
        <c:ser>
          <c:idx val="3"/>
          <c:order val="1"/>
          <c:tx>
            <c:strRef>
              <c:f>'Dashboard Bar Charts'!$R$31</c:f>
              <c:strCache>
                <c:ptCount val="1"/>
                <c:pt idx="0">
                  <c:v>Sometimes</c:v>
                </c:pt>
              </c:strCache>
            </c:strRef>
          </c:tx>
          <c:spPr>
            <a:solidFill>
              <a:srgbClr val="FFFF00"/>
            </a:solidFill>
          </c:spPr>
          <c:invertIfNegative val="0"/>
          <c:cat>
            <c:numRef>
              <c:f>'Dashboard Bar Charts'!$P$32:$P$36</c:f>
              <c:numCache>
                <c:formatCode>General</c:formatCode>
                <c:ptCount val="5"/>
                <c:pt idx="0">
                  <c:v>2023</c:v>
                </c:pt>
                <c:pt idx="1">
                  <c:v>2024</c:v>
                </c:pt>
                <c:pt idx="2">
                  <c:v>2025</c:v>
                </c:pt>
                <c:pt idx="3">
                  <c:v>2026</c:v>
                </c:pt>
                <c:pt idx="4">
                  <c:v>2027</c:v>
                </c:pt>
              </c:numCache>
            </c:numRef>
          </c:cat>
          <c:val>
            <c:numRef>
              <c:f>'Dashboard Bar Charts'!$R$32:$R$36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64E8-428F-851D-8F31D85A530A}"/>
            </c:ext>
          </c:extLst>
        </c:ser>
        <c:ser>
          <c:idx val="4"/>
          <c:order val="2"/>
          <c:tx>
            <c:strRef>
              <c:f>'Dashboard Bar Charts'!$S$31</c:f>
              <c:strCache>
                <c:ptCount val="1"/>
                <c:pt idx="0">
                  <c:v>Never</c:v>
                </c:pt>
              </c:strCache>
            </c:strRef>
          </c:tx>
          <c:spPr>
            <a:solidFill>
              <a:srgbClr val="FF0000"/>
            </a:solidFill>
          </c:spPr>
          <c:invertIfNegative val="0"/>
          <c:cat>
            <c:numRef>
              <c:f>'Dashboard Bar Charts'!$P$32:$P$36</c:f>
              <c:numCache>
                <c:formatCode>General</c:formatCode>
                <c:ptCount val="5"/>
                <c:pt idx="0">
                  <c:v>2023</c:v>
                </c:pt>
                <c:pt idx="1">
                  <c:v>2024</c:v>
                </c:pt>
                <c:pt idx="2">
                  <c:v>2025</c:v>
                </c:pt>
                <c:pt idx="3">
                  <c:v>2026</c:v>
                </c:pt>
                <c:pt idx="4">
                  <c:v>2027</c:v>
                </c:pt>
              </c:numCache>
            </c:numRef>
          </c:cat>
          <c:val>
            <c:numRef>
              <c:f>'Dashboard Bar Charts'!$S$32:$S$36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64E8-428F-851D-8F31D85A530A}"/>
            </c:ext>
          </c:extLst>
        </c:ser>
        <c:ser>
          <c:idx val="0"/>
          <c:order val="3"/>
          <c:tx>
            <c:strRef>
              <c:f>'Dashboard Bar Charts'!$T$31</c:f>
              <c:strCache>
                <c:ptCount val="1"/>
                <c:pt idx="0">
                  <c:v>Not Answered</c:v>
                </c:pt>
              </c:strCache>
            </c:strRef>
          </c:tx>
          <c:spPr>
            <a:solidFill>
              <a:schemeClr val="bg1">
                <a:lumMod val="85000"/>
              </a:schemeClr>
            </a:solidFill>
          </c:spPr>
          <c:invertIfNegative val="0"/>
          <c:cat>
            <c:numRef>
              <c:f>'Dashboard Bar Charts'!$P$32:$P$36</c:f>
              <c:numCache>
                <c:formatCode>General</c:formatCode>
                <c:ptCount val="5"/>
                <c:pt idx="0">
                  <c:v>2023</c:v>
                </c:pt>
                <c:pt idx="1">
                  <c:v>2024</c:v>
                </c:pt>
                <c:pt idx="2">
                  <c:v>2025</c:v>
                </c:pt>
                <c:pt idx="3">
                  <c:v>2026</c:v>
                </c:pt>
                <c:pt idx="4">
                  <c:v>2027</c:v>
                </c:pt>
              </c:numCache>
            </c:numRef>
          </c:cat>
          <c:val>
            <c:numRef>
              <c:f>'Dashboard Bar Charts'!$T$32:$T$36</c:f>
              <c:numCache>
                <c:formatCode>General</c:formatCode>
                <c:ptCount val="5"/>
                <c:pt idx="0">
                  <c:v>20</c:v>
                </c:pt>
                <c:pt idx="1">
                  <c:v>20</c:v>
                </c:pt>
                <c:pt idx="2">
                  <c:v>20</c:v>
                </c:pt>
                <c:pt idx="3">
                  <c:v>20</c:v>
                </c:pt>
                <c:pt idx="4">
                  <c:v>20</c:v>
                </c:pt>
              </c:numCache>
            </c:numRef>
          </c:val>
          <c:extLst>
            <c:ext xmlns:c16="http://schemas.microsoft.com/office/drawing/2014/chart" uri="{C3380CC4-5D6E-409C-BE32-E72D297353CC}">
              <c16:uniqueId val="{00000003-64E8-428F-851D-8F31D85A530A}"/>
            </c:ext>
          </c:extLst>
        </c:ser>
        <c:dLbls>
          <c:showLegendKey val="0"/>
          <c:showVal val="0"/>
          <c:showCatName val="0"/>
          <c:showSerName val="0"/>
          <c:showPercent val="0"/>
          <c:showBubbleSize val="0"/>
        </c:dLbls>
        <c:gapWidth val="150"/>
        <c:shape val="cylinder"/>
        <c:axId val="874811167"/>
        <c:axId val="1"/>
        <c:axId val="0"/>
      </c:bar3DChart>
      <c:catAx>
        <c:axId val="874811167"/>
        <c:scaling>
          <c:orientation val="minMax"/>
        </c:scaling>
        <c:delete val="0"/>
        <c:axPos val="l"/>
        <c:majorGridlines/>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b"/>
        <c:numFmt formatCode="General" sourceLinked="1"/>
        <c:majorTickMark val="out"/>
        <c:minorTickMark val="none"/>
        <c:tickLblPos val="nextTo"/>
        <c:crossAx val="874811167"/>
        <c:crosses val="autoZero"/>
        <c:crossBetween val="between"/>
      </c:valAx>
      <c:spPr>
        <a:noFill/>
        <a:ln w="25400">
          <a:noFill/>
        </a:ln>
      </c:spPr>
    </c:plotArea>
    <c:legend>
      <c:legendPos val="r"/>
      <c:layout>
        <c:manualLayout>
          <c:xMode val="edge"/>
          <c:yMode val="edge"/>
          <c:wMode val="edge"/>
          <c:hMode val="edge"/>
          <c:x val="0.69098786141398461"/>
          <c:y val="0.33996159962763278"/>
          <c:w val="0.9889367366440085"/>
          <c:h val="0.77173758452607211"/>
        </c:manualLayout>
      </c:layout>
      <c:overlay val="0"/>
      <c:txPr>
        <a:bodyPr/>
        <a:lstStyle/>
        <a:p>
          <a:pPr rtl="0">
            <a:defRPr sz="1200" baseline="0"/>
          </a:pPr>
          <a:endParaRPr lang="en-US"/>
        </a:p>
      </c:txPr>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134"/>
      <c:rotY val="30"/>
      <c:depthPercent val="100"/>
      <c:rAngAx val="0"/>
      <c:perspective val="0"/>
    </c:view3D>
    <c:floor>
      <c:thickness val="0"/>
    </c:floor>
    <c:sideWall>
      <c:thickness val="0"/>
    </c:sideWall>
    <c:backWall>
      <c:thickness val="0"/>
    </c:backWall>
    <c:plotArea>
      <c:layout>
        <c:manualLayout>
          <c:layoutTarget val="inner"/>
          <c:xMode val="edge"/>
          <c:yMode val="edge"/>
          <c:x val="9.6223657436078913E-2"/>
          <c:y val="4.9130577427821585E-2"/>
          <c:w val="0.68400412869739602"/>
          <c:h val="0.85803769320501644"/>
        </c:manualLayout>
      </c:layout>
      <c:bar3DChart>
        <c:barDir val="bar"/>
        <c:grouping val="clustered"/>
        <c:varyColors val="0"/>
        <c:ser>
          <c:idx val="3"/>
          <c:order val="0"/>
          <c:tx>
            <c:strRef>
              <c:f>'Dashboard Bar Charts'!$Q$57</c:f>
              <c:strCache>
                <c:ptCount val="1"/>
                <c:pt idx="0">
                  <c:v>Excellent</c:v>
                </c:pt>
              </c:strCache>
            </c:strRef>
          </c:tx>
          <c:spPr>
            <a:solidFill>
              <a:srgbClr val="92D050"/>
            </a:solidFill>
          </c:spPr>
          <c:invertIfNegative val="0"/>
          <c:cat>
            <c:numRef>
              <c:f>'Dashboard Bar Charts'!$P$58:$P$62</c:f>
              <c:numCache>
                <c:formatCode>General</c:formatCode>
                <c:ptCount val="5"/>
                <c:pt idx="0">
                  <c:v>2023</c:v>
                </c:pt>
                <c:pt idx="1">
                  <c:v>2024</c:v>
                </c:pt>
                <c:pt idx="2">
                  <c:v>2025</c:v>
                </c:pt>
                <c:pt idx="3">
                  <c:v>2026</c:v>
                </c:pt>
                <c:pt idx="4">
                  <c:v>2027</c:v>
                </c:pt>
              </c:numCache>
            </c:numRef>
          </c:cat>
          <c:val>
            <c:numRef>
              <c:f>'Dashboard Bar Charts'!$Q$58:$Q$62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02F5-4F35-B0C5-C4967A9699F5}"/>
            </c:ext>
          </c:extLst>
        </c:ser>
        <c:ser>
          <c:idx val="4"/>
          <c:order val="1"/>
          <c:tx>
            <c:strRef>
              <c:f>'Dashboard Bar Charts'!$R$57</c:f>
              <c:strCache>
                <c:ptCount val="1"/>
                <c:pt idx="0">
                  <c:v>Good</c:v>
                </c:pt>
              </c:strCache>
            </c:strRef>
          </c:tx>
          <c:spPr>
            <a:solidFill>
              <a:srgbClr val="FFFF00"/>
            </a:solidFill>
          </c:spPr>
          <c:invertIfNegative val="0"/>
          <c:cat>
            <c:numRef>
              <c:f>'Dashboard Bar Charts'!$P$58:$P$62</c:f>
              <c:numCache>
                <c:formatCode>General</c:formatCode>
                <c:ptCount val="5"/>
                <c:pt idx="0">
                  <c:v>2023</c:v>
                </c:pt>
                <c:pt idx="1">
                  <c:v>2024</c:v>
                </c:pt>
                <c:pt idx="2">
                  <c:v>2025</c:v>
                </c:pt>
                <c:pt idx="3">
                  <c:v>2026</c:v>
                </c:pt>
                <c:pt idx="4">
                  <c:v>2027</c:v>
                </c:pt>
              </c:numCache>
            </c:numRef>
          </c:cat>
          <c:val>
            <c:numRef>
              <c:f>'Dashboard Bar Charts'!$R$58:$R$62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02F5-4F35-B0C5-C4967A9699F5}"/>
            </c:ext>
          </c:extLst>
        </c:ser>
        <c:ser>
          <c:idx val="0"/>
          <c:order val="2"/>
          <c:tx>
            <c:strRef>
              <c:f>'Dashboard Bar Charts'!$S$57</c:f>
              <c:strCache>
                <c:ptCount val="1"/>
                <c:pt idx="0">
                  <c:v>Opportunity</c:v>
                </c:pt>
              </c:strCache>
            </c:strRef>
          </c:tx>
          <c:spPr>
            <a:solidFill>
              <a:srgbClr val="FF0000"/>
            </a:solidFill>
          </c:spPr>
          <c:invertIfNegative val="0"/>
          <c:cat>
            <c:numRef>
              <c:f>'Dashboard Bar Charts'!$P$58:$P$62</c:f>
              <c:numCache>
                <c:formatCode>General</c:formatCode>
                <c:ptCount val="5"/>
                <c:pt idx="0">
                  <c:v>2023</c:v>
                </c:pt>
                <c:pt idx="1">
                  <c:v>2024</c:v>
                </c:pt>
                <c:pt idx="2">
                  <c:v>2025</c:v>
                </c:pt>
                <c:pt idx="3">
                  <c:v>2026</c:v>
                </c:pt>
                <c:pt idx="4">
                  <c:v>2027</c:v>
                </c:pt>
              </c:numCache>
            </c:numRef>
          </c:cat>
          <c:val>
            <c:numRef>
              <c:f>'Dashboard Bar Charts'!$S$58:$S$62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02F5-4F35-B0C5-C4967A9699F5}"/>
            </c:ext>
          </c:extLst>
        </c:ser>
        <c:ser>
          <c:idx val="1"/>
          <c:order val="3"/>
          <c:tx>
            <c:strRef>
              <c:f>'Dashboard Bar Charts'!$T$57</c:f>
              <c:strCache>
                <c:ptCount val="1"/>
                <c:pt idx="0">
                  <c:v>Not Answered</c:v>
                </c:pt>
              </c:strCache>
            </c:strRef>
          </c:tx>
          <c:spPr>
            <a:solidFill>
              <a:schemeClr val="bg1">
                <a:lumMod val="85000"/>
              </a:schemeClr>
            </a:solidFill>
          </c:spPr>
          <c:invertIfNegative val="0"/>
          <c:cat>
            <c:numRef>
              <c:f>'Dashboard Bar Charts'!$P$58:$P$62</c:f>
              <c:numCache>
                <c:formatCode>General</c:formatCode>
                <c:ptCount val="5"/>
                <c:pt idx="0">
                  <c:v>2023</c:v>
                </c:pt>
                <c:pt idx="1">
                  <c:v>2024</c:v>
                </c:pt>
                <c:pt idx="2">
                  <c:v>2025</c:v>
                </c:pt>
                <c:pt idx="3">
                  <c:v>2026</c:v>
                </c:pt>
                <c:pt idx="4">
                  <c:v>2027</c:v>
                </c:pt>
              </c:numCache>
            </c:numRef>
          </c:cat>
          <c:val>
            <c:numRef>
              <c:f>'Dashboard Bar Charts'!$T$58:$T$62</c:f>
              <c:numCache>
                <c:formatCode>General</c:formatCode>
                <c:ptCount val="5"/>
                <c:pt idx="0">
                  <c:v>12</c:v>
                </c:pt>
                <c:pt idx="1">
                  <c:v>12</c:v>
                </c:pt>
                <c:pt idx="2">
                  <c:v>12</c:v>
                </c:pt>
                <c:pt idx="3">
                  <c:v>12</c:v>
                </c:pt>
                <c:pt idx="4">
                  <c:v>12</c:v>
                </c:pt>
              </c:numCache>
            </c:numRef>
          </c:val>
          <c:extLst>
            <c:ext xmlns:c16="http://schemas.microsoft.com/office/drawing/2014/chart" uri="{C3380CC4-5D6E-409C-BE32-E72D297353CC}">
              <c16:uniqueId val="{00000003-02F5-4F35-B0C5-C4967A9699F5}"/>
            </c:ext>
          </c:extLst>
        </c:ser>
        <c:dLbls>
          <c:showLegendKey val="0"/>
          <c:showVal val="0"/>
          <c:showCatName val="0"/>
          <c:showSerName val="0"/>
          <c:showPercent val="0"/>
          <c:showBubbleSize val="0"/>
        </c:dLbls>
        <c:gapWidth val="150"/>
        <c:shape val="cylinder"/>
        <c:axId val="874811647"/>
        <c:axId val="1"/>
        <c:axId val="0"/>
      </c:bar3DChart>
      <c:catAx>
        <c:axId val="874811647"/>
        <c:scaling>
          <c:orientation val="minMax"/>
        </c:scaling>
        <c:delete val="0"/>
        <c:axPos val="l"/>
        <c:majorGridlines/>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b"/>
        <c:numFmt formatCode="General" sourceLinked="1"/>
        <c:majorTickMark val="out"/>
        <c:minorTickMark val="none"/>
        <c:tickLblPos val="nextTo"/>
        <c:crossAx val="874811647"/>
        <c:crosses val="autoZero"/>
        <c:crossBetween val="between"/>
      </c:valAx>
      <c:spPr>
        <a:noFill/>
        <a:ln w="25400">
          <a:noFill/>
        </a:ln>
      </c:spPr>
    </c:plotArea>
    <c:legend>
      <c:legendPos val="r"/>
      <c:layout>
        <c:manualLayout>
          <c:xMode val="edge"/>
          <c:yMode val="edge"/>
          <c:wMode val="edge"/>
          <c:hMode val="edge"/>
          <c:x val="0.69843585435578515"/>
          <c:y val="0.34244294401774722"/>
          <c:w val="0.98892162763094105"/>
          <c:h val="0.75933016051126301"/>
        </c:manualLayout>
      </c:layout>
      <c:overlay val="0"/>
      <c:txPr>
        <a:bodyPr/>
        <a:lstStyle/>
        <a:p>
          <a:pPr rtl="0">
            <a:defRPr sz="1200" baseline="0"/>
          </a:pPr>
          <a:endParaRPr lang="en-US"/>
        </a:p>
      </c:txPr>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134"/>
      <c:rotY val="30"/>
      <c:depthPercent val="100"/>
      <c:rAngAx val="0"/>
      <c:perspective val="0"/>
    </c:view3D>
    <c:floor>
      <c:thickness val="0"/>
    </c:floor>
    <c:sideWall>
      <c:thickness val="0"/>
    </c:sideWall>
    <c:backWall>
      <c:thickness val="0"/>
    </c:backWall>
    <c:plotArea>
      <c:layout>
        <c:manualLayout>
          <c:layoutTarget val="inner"/>
          <c:xMode val="edge"/>
          <c:yMode val="edge"/>
          <c:x val="9.6796012857943328E-2"/>
          <c:y val="5.3760207057451222E-2"/>
          <c:w val="0.68900504290896225"/>
          <c:h val="0.85340806357538701"/>
        </c:manualLayout>
      </c:layout>
      <c:bar3DChart>
        <c:barDir val="bar"/>
        <c:grouping val="clustered"/>
        <c:varyColors val="0"/>
        <c:ser>
          <c:idx val="2"/>
          <c:order val="0"/>
          <c:tx>
            <c:strRef>
              <c:f>'Dashboard Bar Charts'!$J$5</c:f>
              <c:strCache>
                <c:ptCount val="1"/>
                <c:pt idx="0">
                  <c:v>Always</c:v>
                </c:pt>
              </c:strCache>
            </c:strRef>
          </c:tx>
          <c:spPr>
            <a:solidFill>
              <a:srgbClr val="92D050"/>
            </a:solidFill>
          </c:spPr>
          <c:invertIfNegative val="0"/>
          <c:cat>
            <c:numRef>
              <c:f>'Dashboard Bar Charts'!$I$6:$I$10</c:f>
              <c:numCache>
                <c:formatCode>General</c:formatCode>
                <c:ptCount val="5"/>
                <c:pt idx="0">
                  <c:v>2023</c:v>
                </c:pt>
                <c:pt idx="1">
                  <c:v>2024</c:v>
                </c:pt>
                <c:pt idx="2">
                  <c:v>2025</c:v>
                </c:pt>
                <c:pt idx="3">
                  <c:v>2026</c:v>
                </c:pt>
                <c:pt idx="4">
                  <c:v>2027</c:v>
                </c:pt>
              </c:numCache>
            </c:numRef>
          </c:cat>
          <c:val>
            <c:numRef>
              <c:f>'Dashboard Bar Charts'!$J$6:$J$10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DCE4-4A27-9D0B-49C3CBBF40A3}"/>
            </c:ext>
          </c:extLst>
        </c:ser>
        <c:ser>
          <c:idx val="3"/>
          <c:order val="1"/>
          <c:tx>
            <c:strRef>
              <c:f>'Dashboard Bar Charts'!$K$5</c:f>
              <c:strCache>
                <c:ptCount val="1"/>
                <c:pt idx="0">
                  <c:v>Sometimes</c:v>
                </c:pt>
              </c:strCache>
            </c:strRef>
          </c:tx>
          <c:spPr>
            <a:solidFill>
              <a:srgbClr val="FFFF00"/>
            </a:solidFill>
          </c:spPr>
          <c:invertIfNegative val="0"/>
          <c:cat>
            <c:numRef>
              <c:f>'Dashboard Bar Charts'!$I$6:$I$10</c:f>
              <c:numCache>
                <c:formatCode>General</c:formatCode>
                <c:ptCount val="5"/>
                <c:pt idx="0">
                  <c:v>2023</c:v>
                </c:pt>
                <c:pt idx="1">
                  <c:v>2024</c:v>
                </c:pt>
                <c:pt idx="2">
                  <c:v>2025</c:v>
                </c:pt>
                <c:pt idx="3">
                  <c:v>2026</c:v>
                </c:pt>
                <c:pt idx="4">
                  <c:v>2027</c:v>
                </c:pt>
              </c:numCache>
            </c:numRef>
          </c:cat>
          <c:val>
            <c:numRef>
              <c:f>'Dashboard Bar Charts'!$K$6:$K$10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DCE4-4A27-9D0B-49C3CBBF40A3}"/>
            </c:ext>
          </c:extLst>
        </c:ser>
        <c:ser>
          <c:idx val="4"/>
          <c:order val="2"/>
          <c:tx>
            <c:strRef>
              <c:f>'Dashboard Bar Charts'!$L$5</c:f>
              <c:strCache>
                <c:ptCount val="1"/>
                <c:pt idx="0">
                  <c:v>Never</c:v>
                </c:pt>
              </c:strCache>
            </c:strRef>
          </c:tx>
          <c:spPr>
            <a:solidFill>
              <a:srgbClr val="FF0000"/>
            </a:solidFill>
          </c:spPr>
          <c:invertIfNegative val="0"/>
          <c:cat>
            <c:numRef>
              <c:f>'Dashboard Bar Charts'!$I$6:$I$10</c:f>
              <c:numCache>
                <c:formatCode>General</c:formatCode>
                <c:ptCount val="5"/>
                <c:pt idx="0">
                  <c:v>2023</c:v>
                </c:pt>
                <c:pt idx="1">
                  <c:v>2024</c:v>
                </c:pt>
                <c:pt idx="2">
                  <c:v>2025</c:v>
                </c:pt>
                <c:pt idx="3">
                  <c:v>2026</c:v>
                </c:pt>
                <c:pt idx="4">
                  <c:v>2027</c:v>
                </c:pt>
              </c:numCache>
            </c:numRef>
          </c:cat>
          <c:val>
            <c:numRef>
              <c:f>'Dashboard Bar Charts'!$L$6:$L$10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DCE4-4A27-9D0B-49C3CBBF40A3}"/>
            </c:ext>
          </c:extLst>
        </c:ser>
        <c:ser>
          <c:idx val="0"/>
          <c:order val="3"/>
          <c:tx>
            <c:strRef>
              <c:f>'Dashboard Bar Charts'!$M$5</c:f>
              <c:strCache>
                <c:ptCount val="1"/>
                <c:pt idx="0">
                  <c:v>Not Answered</c:v>
                </c:pt>
              </c:strCache>
            </c:strRef>
          </c:tx>
          <c:spPr>
            <a:solidFill>
              <a:schemeClr val="bg1">
                <a:lumMod val="85000"/>
              </a:schemeClr>
            </a:solidFill>
          </c:spPr>
          <c:invertIfNegative val="0"/>
          <c:cat>
            <c:numRef>
              <c:f>'Dashboard Bar Charts'!$I$6:$I$10</c:f>
              <c:numCache>
                <c:formatCode>General</c:formatCode>
                <c:ptCount val="5"/>
                <c:pt idx="0">
                  <c:v>2023</c:v>
                </c:pt>
                <c:pt idx="1">
                  <c:v>2024</c:v>
                </c:pt>
                <c:pt idx="2">
                  <c:v>2025</c:v>
                </c:pt>
                <c:pt idx="3">
                  <c:v>2026</c:v>
                </c:pt>
                <c:pt idx="4">
                  <c:v>2027</c:v>
                </c:pt>
              </c:numCache>
            </c:numRef>
          </c:cat>
          <c:val>
            <c:numRef>
              <c:f>'Dashboard Bar Charts'!$M$6:$M$10</c:f>
              <c:numCache>
                <c:formatCode>General</c:formatCode>
                <c:ptCount val="5"/>
                <c:pt idx="0">
                  <c:v>47</c:v>
                </c:pt>
                <c:pt idx="1">
                  <c:v>47</c:v>
                </c:pt>
                <c:pt idx="2">
                  <c:v>47</c:v>
                </c:pt>
                <c:pt idx="3">
                  <c:v>47</c:v>
                </c:pt>
                <c:pt idx="4">
                  <c:v>47</c:v>
                </c:pt>
              </c:numCache>
            </c:numRef>
          </c:val>
          <c:extLst>
            <c:ext xmlns:c16="http://schemas.microsoft.com/office/drawing/2014/chart" uri="{C3380CC4-5D6E-409C-BE32-E72D297353CC}">
              <c16:uniqueId val="{00000003-DCE4-4A27-9D0B-49C3CBBF40A3}"/>
            </c:ext>
          </c:extLst>
        </c:ser>
        <c:dLbls>
          <c:showLegendKey val="0"/>
          <c:showVal val="0"/>
          <c:showCatName val="0"/>
          <c:showSerName val="0"/>
          <c:showPercent val="0"/>
          <c:showBubbleSize val="0"/>
        </c:dLbls>
        <c:gapWidth val="150"/>
        <c:shape val="cylinder"/>
        <c:axId val="874790047"/>
        <c:axId val="1"/>
        <c:axId val="0"/>
      </c:bar3DChart>
      <c:catAx>
        <c:axId val="874790047"/>
        <c:scaling>
          <c:orientation val="minMax"/>
        </c:scaling>
        <c:delete val="0"/>
        <c:axPos val="l"/>
        <c:majorGridlines/>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b"/>
        <c:numFmt formatCode="General" sourceLinked="1"/>
        <c:majorTickMark val="out"/>
        <c:minorTickMark val="none"/>
        <c:tickLblPos val="nextTo"/>
        <c:crossAx val="874790047"/>
        <c:crosses val="autoZero"/>
        <c:crossBetween val="between"/>
      </c:valAx>
      <c:spPr>
        <a:noFill/>
        <a:ln w="25400">
          <a:noFill/>
        </a:ln>
      </c:spPr>
    </c:plotArea>
    <c:legend>
      <c:legendPos val="r"/>
      <c:layout>
        <c:manualLayout>
          <c:xMode val="edge"/>
          <c:yMode val="edge"/>
          <c:wMode val="edge"/>
          <c:hMode val="edge"/>
          <c:x val="0.70050606557863626"/>
          <c:y val="0.34492455684418755"/>
          <c:w val="0.98714992007259195"/>
          <c:h val="0.7692561059177947"/>
        </c:manualLayout>
      </c:layout>
      <c:overlay val="0"/>
      <c:txPr>
        <a:bodyPr/>
        <a:lstStyle/>
        <a:p>
          <a:pPr rtl="0">
            <a:defRPr/>
          </a:pPr>
          <a:endParaRPr lang="en-US"/>
        </a:p>
      </c:txPr>
    </c:legend>
    <c:plotVisOnly val="1"/>
    <c:dispBlanksAs val="gap"/>
    <c:showDLblsOverMax val="0"/>
  </c:chart>
  <c:printSettings>
    <c:headerFooter/>
    <c:pageMargins b="0.75000000000000044" l="0.7000000000000004" r="0.7000000000000004" t="0.75000000000000044" header="0.30000000000000021" footer="0.30000000000000021"/>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61632348922486391"/>
          <c:y val="5.5555335733787042E-2"/>
        </c:manualLayout>
      </c:layout>
      <c:overlay val="0"/>
    </c:title>
    <c:autoTitleDeleted val="0"/>
    <c:plotArea>
      <c:layout>
        <c:manualLayout>
          <c:layoutTarget val="inner"/>
          <c:xMode val="edge"/>
          <c:yMode val="edge"/>
          <c:x val="0.5938443700467555"/>
          <c:y val="0.3172622172228477"/>
          <c:w val="0.29886376489900773"/>
          <c:h val="0.57956317960254922"/>
        </c:manualLayout>
      </c:layout>
      <c:pieChart>
        <c:varyColors val="1"/>
        <c:ser>
          <c:idx val="1"/>
          <c:order val="0"/>
          <c:tx>
            <c:strRef>
              <c:f>'Dashboard Pie Charts'!$J$6</c:f>
              <c:strCache>
                <c:ptCount val="1"/>
                <c:pt idx="0">
                  <c:v>2023</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0E42-4728-B2E0-0AFBB2F22D96}"/>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0E42-4728-B2E0-0AFBB2F22D96}"/>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0E42-4728-B2E0-0AFBB2F22D96}"/>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0E42-4728-B2E0-0AFBB2F22D96}"/>
              </c:ext>
            </c:extLst>
          </c:dPt>
          <c:cat>
            <c:strRef>
              <c:f>'Dashboard Pie Charts'!$K$5:$N$5</c:f>
              <c:strCache>
                <c:ptCount val="4"/>
                <c:pt idx="0">
                  <c:v>Always</c:v>
                </c:pt>
                <c:pt idx="1">
                  <c:v>Sometimes</c:v>
                </c:pt>
                <c:pt idx="2">
                  <c:v>Never</c:v>
                </c:pt>
                <c:pt idx="3">
                  <c:v>Not Answered</c:v>
                </c:pt>
              </c:strCache>
            </c:strRef>
          </c:cat>
          <c:val>
            <c:numRef>
              <c:f>'Dashboard Pie Charts'!$K$6:$N$6</c:f>
              <c:numCache>
                <c:formatCode>General</c:formatCode>
                <c:ptCount val="4"/>
                <c:pt idx="0">
                  <c:v>0</c:v>
                </c:pt>
                <c:pt idx="1">
                  <c:v>0</c:v>
                </c:pt>
                <c:pt idx="2">
                  <c:v>0</c:v>
                </c:pt>
                <c:pt idx="3">
                  <c:v>47</c:v>
                </c:pt>
              </c:numCache>
            </c:numRef>
          </c:val>
          <c:extLst>
            <c:ext xmlns:c16="http://schemas.microsoft.com/office/drawing/2014/chart" uri="{C3380CC4-5D6E-409C-BE32-E72D297353CC}">
              <c16:uniqueId val="{00000004-0E42-4728-B2E0-0AFBB2F22D96}"/>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7.4881953315157637E-2"/>
          <c:y val="0.22388781176222319"/>
          <c:w val="0.40581113801452784"/>
          <c:h val="0.74131813925269385"/>
        </c:manualLayout>
      </c:layout>
      <c:overlay val="0"/>
      <c:txPr>
        <a:bodyPr/>
        <a:lstStyle/>
        <a:p>
          <a:pPr rtl="0">
            <a:defRPr sz="1200" baseline="0"/>
          </a:pPr>
          <a:endParaRPr lang="en-US"/>
        </a:p>
      </c:txPr>
    </c:legend>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135"/>
      <c:rotY val="30"/>
      <c:depthPercent val="100"/>
      <c:rAngAx val="0"/>
      <c:perspective val="0"/>
    </c:view3D>
    <c:floor>
      <c:thickness val="0"/>
    </c:floor>
    <c:sideWall>
      <c:thickness val="0"/>
    </c:sideWall>
    <c:backWall>
      <c:thickness val="0"/>
    </c:backWall>
    <c:plotArea>
      <c:layout>
        <c:manualLayout>
          <c:layoutTarget val="inner"/>
          <c:xMode val="edge"/>
          <c:yMode val="edge"/>
          <c:x val="9.6796012857943328E-2"/>
          <c:y val="5.3760207057451222E-2"/>
          <c:w val="0.68900504290896225"/>
          <c:h val="0.85340806357538701"/>
        </c:manualLayout>
      </c:layout>
      <c:bar3DChart>
        <c:barDir val="bar"/>
        <c:grouping val="clustered"/>
        <c:varyColors val="0"/>
        <c:ser>
          <c:idx val="2"/>
          <c:order val="0"/>
          <c:tx>
            <c:strRef>
              <c:f>'Dashboard Bar Charts'!$Q$5</c:f>
              <c:strCache>
                <c:ptCount val="1"/>
                <c:pt idx="0">
                  <c:v>Always</c:v>
                </c:pt>
              </c:strCache>
            </c:strRef>
          </c:tx>
          <c:spPr>
            <a:solidFill>
              <a:srgbClr val="92D050"/>
            </a:solidFill>
          </c:spPr>
          <c:invertIfNegative val="0"/>
          <c:cat>
            <c:numRef>
              <c:f>'Dashboard Bar Charts'!$P$6:$P$10</c:f>
              <c:numCache>
                <c:formatCode>General</c:formatCode>
                <c:ptCount val="5"/>
                <c:pt idx="0">
                  <c:v>2023</c:v>
                </c:pt>
                <c:pt idx="1">
                  <c:v>2024</c:v>
                </c:pt>
                <c:pt idx="2">
                  <c:v>2025</c:v>
                </c:pt>
                <c:pt idx="3">
                  <c:v>2026</c:v>
                </c:pt>
                <c:pt idx="4">
                  <c:v>2027</c:v>
                </c:pt>
              </c:numCache>
            </c:numRef>
          </c:cat>
          <c:val>
            <c:numRef>
              <c:f>'Dashboard Bar Charts'!$Q$6:$Q$10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3E9D-4790-9E15-593BDD45A591}"/>
            </c:ext>
          </c:extLst>
        </c:ser>
        <c:ser>
          <c:idx val="3"/>
          <c:order val="1"/>
          <c:tx>
            <c:strRef>
              <c:f>'Dashboard Bar Charts'!$R$5</c:f>
              <c:strCache>
                <c:ptCount val="1"/>
                <c:pt idx="0">
                  <c:v>Sometimes</c:v>
                </c:pt>
              </c:strCache>
            </c:strRef>
          </c:tx>
          <c:spPr>
            <a:solidFill>
              <a:srgbClr val="FFFF00"/>
            </a:solidFill>
          </c:spPr>
          <c:invertIfNegative val="0"/>
          <c:cat>
            <c:numRef>
              <c:f>'Dashboard Bar Charts'!$P$6:$P$10</c:f>
              <c:numCache>
                <c:formatCode>General</c:formatCode>
                <c:ptCount val="5"/>
                <c:pt idx="0">
                  <c:v>2023</c:v>
                </c:pt>
                <c:pt idx="1">
                  <c:v>2024</c:v>
                </c:pt>
                <c:pt idx="2">
                  <c:v>2025</c:v>
                </c:pt>
                <c:pt idx="3">
                  <c:v>2026</c:v>
                </c:pt>
                <c:pt idx="4">
                  <c:v>2027</c:v>
                </c:pt>
              </c:numCache>
            </c:numRef>
          </c:cat>
          <c:val>
            <c:numRef>
              <c:f>'Dashboard Bar Charts'!$R$6:$R$10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3E9D-4790-9E15-593BDD45A591}"/>
            </c:ext>
          </c:extLst>
        </c:ser>
        <c:ser>
          <c:idx val="4"/>
          <c:order val="2"/>
          <c:tx>
            <c:strRef>
              <c:f>'Dashboard Bar Charts'!$S$5</c:f>
              <c:strCache>
                <c:ptCount val="1"/>
                <c:pt idx="0">
                  <c:v>Never</c:v>
                </c:pt>
              </c:strCache>
            </c:strRef>
          </c:tx>
          <c:spPr>
            <a:solidFill>
              <a:srgbClr val="FF0000"/>
            </a:solidFill>
          </c:spPr>
          <c:invertIfNegative val="0"/>
          <c:cat>
            <c:numRef>
              <c:f>'Dashboard Bar Charts'!$P$6:$P$10</c:f>
              <c:numCache>
                <c:formatCode>General</c:formatCode>
                <c:ptCount val="5"/>
                <c:pt idx="0">
                  <c:v>2023</c:v>
                </c:pt>
                <c:pt idx="1">
                  <c:v>2024</c:v>
                </c:pt>
                <c:pt idx="2">
                  <c:v>2025</c:v>
                </c:pt>
                <c:pt idx="3">
                  <c:v>2026</c:v>
                </c:pt>
                <c:pt idx="4">
                  <c:v>2027</c:v>
                </c:pt>
              </c:numCache>
            </c:numRef>
          </c:cat>
          <c:val>
            <c:numRef>
              <c:f>'Dashboard Bar Charts'!$S$6:$S$10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3E9D-4790-9E15-593BDD45A591}"/>
            </c:ext>
          </c:extLst>
        </c:ser>
        <c:ser>
          <c:idx val="0"/>
          <c:order val="3"/>
          <c:tx>
            <c:strRef>
              <c:f>'Dashboard Bar Charts'!$T$5</c:f>
              <c:strCache>
                <c:ptCount val="1"/>
                <c:pt idx="0">
                  <c:v>Not Answered</c:v>
                </c:pt>
              </c:strCache>
            </c:strRef>
          </c:tx>
          <c:spPr>
            <a:solidFill>
              <a:schemeClr val="bg1">
                <a:lumMod val="85000"/>
              </a:schemeClr>
            </a:solidFill>
          </c:spPr>
          <c:invertIfNegative val="0"/>
          <c:cat>
            <c:numRef>
              <c:f>'Dashboard Bar Charts'!$P$6:$P$10</c:f>
              <c:numCache>
                <c:formatCode>General</c:formatCode>
                <c:ptCount val="5"/>
                <c:pt idx="0">
                  <c:v>2023</c:v>
                </c:pt>
                <c:pt idx="1">
                  <c:v>2024</c:v>
                </c:pt>
                <c:pt idx="2">
                  <c:v>2025</c:v>
                </c:pt>
                <c:pt idx="3">
                  <c:v>2026</c:v>
                </c:pt>
                <c:pt idx="4">
                  <c:v>2027</c:v>
                </c:pt>
              </c:numCache>
            </c:numRef>
          </c:cat>
          <c:val>
            <c:numRef>
              <c:f>'Dashboard Bar Charts'!$T$6:$T$10</c:f>
              <c:numCache>
                <c:formatCode>General</c:formatCode>
                <c:ptCount val="5"/>
                <c:pt idx="0">
                  <c:v>18</c:v>
                </c:pt>
                <c:pt idx="1">
                  <c:v>18</c:v>
                </c:pt>
                <c:pt idx="2">
                  <c:v>18</c:v>
                </c:pt>
                <c:pt idx="3">
                  <c:v>18</c:v>
                </c:pt>
                <c:pt idx="4">
                  <c:v>18</c:v>
                </c:pt>
              </c:numCache>
            </c:numRef>
          </c:val>
          <c:extLst>
            <c:ext xmlns:c16="http://schemas.microsoft.com/office/drawing/2014/chart" uri="{C3380CC4-5D6E-409C-BE32-E72D297353CC}">
              <c16:uniqueId val="{00000003-3E9D-4790-9E15-593BDD45A591}"/>
            </c:ext>
          </c:extLst>
        </c:ser>
        <c:dLbls>
          <c:showLegendKey val="0"/>
          <c:showVal val="0"/>
          <c:showCatName val="0"/>
          <c:showSerName val="0"/>
          <c:showPercent val="0"/>
          <c:showBubbleSize val="0"/>
        </c:dLbls>
        <c:gapWidth val="150"/>
        <c:shape val="cylinder"/>
        <c:axId val="874786207"/>
        <c:axId val="1"/>
        <c:axId val="0"/>
      </c:bar3DChart>
      <c:catAx>
        <c:axId val="874786207"/>
        <c:scaling>
          <c:orientation val="minMax"/>
        </c:scaling>
        <c:delete val="0"/>
        <c:axPos val="l"/>
        <c:majorGridlines/>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b"/>
        <c:numFmt formatCode="General" sourceLinked="1"/>
        <c:majorTickMark val="out"/>
        <c:minorTickMark val="none"/>
        <c:tickLblPos val="nextTo"/>
        <c:crossAx val="874786207"/>
        <c:crosses val="autoZero"/>
        <c:crossBetween val="between"/>
      </c:valAx>
      <c:spPr>
        <a:noFill/>
        <a:ln w="25400">
          <a:noFill/>
        </a:ln>
      </c:spPr>
    </c:plotArea>
    <c:legend>
      <c:legendPos val="r"/>
      <c:layout>
        <c:manualLayout>
          <c:xMode val="edge"/>
          <c:yMode val="edge"/>
          <c:wMode val="edge"/>
          <c:hMode val="edge"/>
          <c:x val="0.69684851296454187"/>
          <c:y val="0.34988751406074242"/>
          <c:w val="0.98574694484845449"/>
          <c:h val="0.77421906313434963"/>
        </c:manualLayout>
      </c:layout>
      <c:overlay val="0"/>
      <c:txPr>
        <a:bodyPr/>
        <a:lstStyle/>
        <a:p>
          <a:pPr rtl="0">
            <a:defRPr/>
          </a:pPr>
          <a:endParaRPr lang="en-US"/>
        </a:p>
      </c:txPr>
    </c:legend>
    <c:plotVisOnly val="1"/>
    <c:dispBlanksAs val="gap"/>
    <c:showDLblsOverMax val="0"/>
  </c:chart>
  <c:printSettings>
    <c:headerFooter/>
    <c:pageMargins b="0.75000000000000044" l="0.7000000000000004" r="0.7000000000000004" t="0.75000000000000044" header="0.30000000000000021" footer="0.30000000000000021"/>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1234442472"/>
          <c:y val="4.7619330247035699E-2"/>
        </c:manualLayout>
      </c:layout>
      <c:overlay val="0"/>
    </c:title>
    <c:autoTitleDeleted val="0"/>
    <c:plotArea>
      <c:layout/>
      <c:pieChart>
        <c:varyColors val="1"/>
        <c:ser>
          <c:idx val="0"/>
          <c:order val="0"/>
          <c:tx>
            <c:strRef>
              <c:f>'Dashboard Pie Charts'!$J$7</c:f>
              <c:strCache>
                <c:ptCount val="1"/>
                <c:pt idx="0">
                  <c:v>2024</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2DB2-4284-9512-6F5C12625A87}"/>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2DB2-4284-9512-6F5C12625A87}"/>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2DB2-4284-9512-6F5C12625A87}"/>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2DB2-4284-9512-6F5C12625A87}"/>
              </c:ext>
            </c:extLst>
          </c:dPt>
          <c:cat>
            <c:strRef>
              <c:f>'Dashboard Pie Charts'!$K$5:$N$5</c:f>
              <c:strCache>
                <c:ptCount val="4"/>
                <c:pt idx="0">
                  <c:v>Always</c:v>
                </c:pt>
                <c:pt idx="1">
                  <c:v>Sometimes</c:v>
                </c:pt>
                <c:pt idx="2">
                  <c:v>Never</c:v>
                </c:pt>
                <c:pt idx="3">
                  <c:v>Not Answered</c:v>
                </c:pt>
              </c:strCache>
            </c:strRef>
          </c:cat>
          <c:val>
            <c:numRef>
              <c:f>'Dashboard Pie Charts'!$K$7:$N$7</c:f>
              <c:numCache>
                <c:formatCode>General</c:formatCode>
                <c:ptCount val="4"/>
                <c:pt idx="0">
                  <c:v>0</c:v>
                </c:pt>
                <c:pt idx="1">
                  <c:v>0</c:v>
                </c:pt>
                <c:pt idx="2">
                  <c:v>0</c:v>
                </c:pt>
                <c:pt idx="3">
                  <c:v>47</c:v>
                </c:pt>
              </c:numCache>
            </c:numRef>
          </c:val>
          <c:extLst>
            <c:ext xmlns:c16="http://schemas.microsoft.com/office/drawing/2014/chart" uri="{C3380CC4-5D6E-409C-BE32-E72D297353CC}">
              <c16:uniqueId val="{00000004-2DB2-4284-9512-6F5C12625A8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7169033774"/>
          <c:y val="4.7618766404199472E-2"/>
        </c:manualLayout>
      </c:layout>
      <c:overlay val="0"/>
    </c:title>
    <c:autoTitleDeleted val="0"/>
    <c:plotArea>
      <c:layout/>
      <c:pieChart>
        <c:varyColors val="1"/>
        <c:ser>
          <c:idx val="0"/>
          <c:order val="0"/>
          <c:tx>
            <c:strRef>
              <c:f>'Dashboard Pie Charts'!$J$8</c:f>
              <c:strCache>
                <c:ptCount val="1"/>
                <c:pt idx="0">
                  <c:v>2025</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98E6-4E1D-805D-9D526D2C949E}"/>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98E6-4E1D-805D-9D526D2C949E}"/>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98E6-4E1D-805D-9D526D2C949E}"/>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98E6-4E1D-805D-9D526D2C949E}"/>
              </c:ext>
            </c:extLst>
          </c:dPt>
          <c:cat>
            <c:strRef>
              <c:f>'Dashboard Pie Charts'!$C$5:$F$5</c:f>
              <c:strCache>
                <c:ptCount val="4"/>
                <c:pt idx="0">
                  <c:v>Excellent</c:v>
                </c:pt>
                <c:pt idx="1">
                  <c:v>Good</c:v>
                </c:pt>
                <c:pt idx="2">
                  <c:v>Opportunity</c:v>
                </c:pt>
                <c:pt idx="3">
                  <c:v>Not Answered</c:v>
                </c:pt>
              </c:strCache>
            </c:strRef>
          </c:cat>
          <c:val>
            <c:numRef>
              <c:f>'Dashboard Pie Charts'!$K$8:$N$8</c:f>
              <c:numCache>
                <c:formatCode>General</c:formatCode>
                <c:ptCount val="4"/>
                <c:pt idx="0">
                  <c:v>0</c:v>
                </c:pt>
                <c:pt idx="1">
                  <c:v>0</c:v>
                </c:pt>
                <c:pt idx="2">
                  <c:v>0</c:v>
                </c:pt>
                <c:pt idx="3">
                  <c:v>47</c:v>
                </c:pt>
              </c:numCache>
            </c:numRef>
          </c:val>
          <c:extLst>
            <c:ext xmlns:c16="http://schemas.microsoft.com/office/drawing/2014/chart" uri="{C3380CC4-5D6E-409C-BE32-E72D297353CC}">
              <c16:uniqueId val="{00000004-98E6-4E1D-805D-9D526D2C949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5617225172434838"/>
          <c:y val="4.7619330247035699E-2"/>
        </c:manualLayout>
      </c:layout>
      <c:overlay val="0"/>
    </c:title>
    <c:autoTitleDeleted val="0"/>
    <c:plotArea>
      <c:layout/>
      <c:pieChart>
        <c:varyColors val="1"/>
        <c:ser>
          <c:idx val="0"/>
          <c:order val="0"/>
          <c:tx>
            <c:strRef>
              <c:f>'Dashboard Pie Charts'!$J$9</c:f>
              <c:strCache>
                <c:ptCount val="1"/>
                <c:pt idx="0">
                  <c:v>2026</c:v>
                </c:pt>
              </c:strCache>
            </c:strRef>
          </c:tx>
          <c:spPr>
            <a:ln>
              <a:solidFill>
                <a:schemeClr val="accent1"/>
              </a:solidFill>
            </a:ln>
          </c:spPr>
          <c:dPt>
            <c:idx val="0"/>
            <c:bubble3D val="0"/>
            <c:spPr>
              <a:solidFill>
                <a:srgbClr val="92D050"/>
              </a:solidFill>
              <a:ln>
                <a:solidFill>
                  <a:schemeClr val="accent1"/>
                </a:solidFill>
              </a:ln>
            </c:spPr>
            <c:extLst>
              <c:ext xmlns:c16="http://schemas.microsoft.com/office/drawing/2014/chart" uri="{C3380CC4-5D6E-409C-BE32-E72D297353CC}">
                <c16:uniqueId val="{00000000-53E5-4C33-9543-0B4093441EAA}"/>
              </c:ext>
            </c:extLst>
          </c:dPt>
          <c:dPt>
            <c:idx val="1"/>
            <c:bubble3D val="0"/>
            <c:spPr>
              <a:solidFill>
                <a:srgbClr val="FFFF00"/>
              </a:solidFill>
              <a:ln>
                <a:solidFill>
                  <a:schemeClr val="accent1"/>
                </a:solidFill>
              </a:ln>
            </c:spPr>
            <c:extLst>
              <c:ext xmlns:c16="http://schemas.microsoft.com/office/drawing/2014/chart" uri="{C3380CC4-5D6E-409C-BE32-E72D297353CC}">
                <c16:uniqueId val="{00000001-53E5-4C33-9543-0B4093441EAA}"/>
              </c:ext>
            </c:extLst>
          </c:dPt>
          <c:dPt>
            <c:idx val="2"/>
            <c:bubble3D val="0"/>
            <c:spPr>
              <a:solidFill>
                <a:srgbClr val="FF0000"/>
              </a:solidFill>
              <a:ln>
                <a:solidFill>
                  <a:schemeClr val="accent1"/>
                </a:solidFill>
              </a:ln>
            </c:spPr>
            <c:extLst>
              <c:ext xmlns:c16="http://schemas.microsoft.com/office/drawing/2014/chart" uri="{C3380CC4-5D6E-409C-BE32-E72D297353CC}">
                <c16:uniqueId val="{00000002-53E5-4C33-9543-0B4093441EAA}"/>
              </c:ext>
            </c:extLst>
          </c:dPt>
          <c:dPt>
            <c:idx val="3"/>
            <c:bubble3D val="0"/>
            <c:spPr>
              <a:solidFill>
                <a:schemeClr val="bg1">
                  <a:lumMod val="85000"/>
                </a:schemeClr>
              </a:solidFill>
              <a:ln>
                <a:solidFill>
                  <a:schemeClr val="accent1"/>
                </a:solidFill>
              </a:ln>
            </c:spPr>
            <c:extLst>
              <c:ext xmlns:c16="http://schemas.microsoft.com/office/drawing/2014/chart" uri="{C3380CC4-5D6E-409C-BE32-E72D297353CC}">
                <c16:uniqueId val="{00000003-53E5-4C33-9543-0B4093441EAA}"/>
              </c:ext>
            </c:extLst>
          </c:dPt>
          <c:cat>
            <c:strRef>
              <c:f>'Dashboard Pie Charts'!$C$5:$F$5</c:f>
              <c:strCache>
                <c:ptCount val="4"/>
                <c:pt idx="0">
                  <c:v>Excellent</c:v>
                </c:pt>
                <c:pt idx="1">
                  <c:v>Good</c:v>
                </c:pt>
                <c:pt idx="2">
                  <c:v>Opportunity</c:v>
                </c:pt>
                <c:pt idx="3">
                  <c:v>Not Answered</c:v>
                </c:pt>
              </c:strCache>
            </c:strRef>
          </c:cat>
          <c:val>
            <c:numRef>
              <c:f>'Dashboard Pie Charts'!$K$9:$N$9</c:f>
              <c:numCache>
                <c:formatCode>General</c:formatCode>
                <c:ptCount val="4"/>
                <c:pt idx="0">
                  <c:v>0</c:v>
                </c:pt>
                <c:pt idx="1">
                  <c:v>0</c:v>
                </c:pt>
                <c:pt idx="2">
                  <c:v>0</c:v>
                </c:pt>
                <c:pt idx="3">
                  <c:v>47</c:v>
                </c:pt>
              </c:numCache>
            </c:numRef>
          </c:val>
          <c:extLst>
            <c:ext xmlns:c16="http://schemas.microsoft.com/office/drawing/2014/chart" uri="{C3380CC4-5D6E-409C-BE32-E72D297353CC}">
              <c16:uniqueId val="{00000004-53E5-4C33-9543-0B4093441EA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8" Type="http://schemas.openxmlformats.org/officeDocument/2006/relationships/chart" Target="../charts/chart8.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0" Type="http://schemas.openxmlformats.org/officeDocument/2006/relationships/chart" Target="../charts/chart20.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s>
</file>

<file path=xl/drawings/_rels/drawing2.xml.rels><?xml version="1.0" encoding="UTF-8" standalone="yes"?>
<Relationships xmlns="http://schemas.openxmlformats.org/package/2006/relationships"><Relationship Id="rId8" Type="http://schemas.openxmlformats.org/officeDocument/2006/relationships/chart" Target="../charts/chart58.xml"/><Relationship Id="rId3" Type="http://schemas.openxmlformats.org/officeDocument/2006/relationships/chart" Target="../charts/chart53.xml"/><Relationship Id="rId7" Type="http://schemas.openxmlformats.org/officeDocument/2006/relationships/chart" Target="../charts/chart57.xml"/><Relationship Id="rId2" Type="http://schemas.openxmlformats.org/officeDocument/2006/relationships/chart" Target="../charts/chart52.xml"/><Relationship Id="rId1" Type="http://schemas.openxmlformats.org/officeDocument/2006/relationships/chart" Target="../charts/chart51.xml"/><Relationship Id="rId6" Type="http://schemas.openxmlformats.org/officeDocument/2006/relationships/chart" Target="../charts/chart56.xml"/><Relationship Id="rId5" Type="http://schemas.openxmlformats.org/officeDocument/2006/relationships/chart" Target="../charts/chart55.xml"/><Relationship Id="rId10" Type="http://schemas.openxmlformats.org/officeDocument/2006/relationships/chart" Target="../charts/chart60.xml"/><Relationship Id="rId4" Type="http://schemas.openxmlformats.org/officeDocument/2006/relationships/chart" Target="../charts/chart54.xml"/><Relationship Id="rId9" Type="http://schemas.openxmlformats.org/officeDocument/2006/relationships/chart" Target="../charts/chart59.xml"/></Relationships>
</file>

<file path=xl/drawings/drawing1.xml><?xml version="1.0" encoding="utf-8"?>
<xdr:wsDr xmlns:xdr="http://schemas.openxmlformats.org/drawingml/2006/spreadsheetDrawing" xmlns:a="http://schemas.openxmlformats.org/drawingml/2006/main">
  <xdr:twoCellAnchor>
    <xdr:from>
      <xdr:col>1</xdr:col>
      <xdr:colOff>7620</xdr:colOff>
      <xdr:row>10</xdr:row>
      <xdr:rowOff>30480</xdr:rowOff>
    </xdr:from>
    <xdr:to>
      <xdr:col>5</xdr:col>
      <xdr:colOff>106680</xdr:colOff>
      <xdr:row>18</xdr:row>
      <xdr:rowOff>99060</xdr:rowOff>
    </xdr:to>
    <xdr:graphicFrame macro="">
      <xdr:nvGraphicFramePr>
        <xdr:cNvPr id="1235444" name="Chart 12">
          <a:extLst>
            <a:ext uri="{FF2B5EF4-FFF2-40B4-BE49-F238E27FC236}">
              <a16:creationId xmlns:a16="http://schemas.microsoft.com/office/drawing/2014/main" id="{1A4D0125-06B1-C036-565E-EF89CF05A7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106680</xdr:colOff>
      <xdr:row>10</xdr:row>
      <xdr:rowOff>30480</xdr:rowOff>
    </xdr:from>
    <xdr:to>
      <xdr:col>7</xdr:col>
      <xdr:colOff>0</xdr:colOff>
      <xdr:row>18</xdr:row>
      <xdr:rowOff>99060</xdr:rowOff>
    </xdr:to>
    <xdr:graphicFrame macro="">
      <xdr:nvGraphicFramePr>
        <xdr:cNvPr id="1235445" name="Chart 21">
          <a:extLst>
            <a:ext uri="{FF2B5EF4-FFF2-40B4-BE49-F238E27FC236}">
              <a16:creationId xmlns:a16="http://schemas.microsoft.com/office/drawing/2014/main" id="{371C5064-C82F-2DDD-62CC-C17B831495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30480</xdr:colOff>
      <xdr:row>18</xdr:row>
      <xdr:rowOff>76200</xdr:rowOff>
    </xdr:from>
    <xdr:to>
      <xdr:col>3</xdr:col>
      <xdr:colOff>342900</xdr:colOff>
      <xdr:row>26</xdr:row>
      <xdr:rowOff>144780</xdr:rowOff>
    </xdr:to>
    <xdr:graphicFrame macro="">
      <xdr:nvGraphicFramePr>
        <xdr:cNvPr id="1235446" name="Chart 22">
          <a:extLst>
            <a:ext uri="{FF2B5EF4-FFF2-40B4-BE49-F238E27FC236}">
              <a16:creationId xmlns:a16="http://schemas.microsoft.com/office/drawing/2014/main" id="{8CFF8E52-5C06-F3F4-491D-4EB08A3620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243840</xdr:colOff>
      <xdr:row>18</xdr:row>
      <xdr:rowOff>76200</xdr:rowOff>
    </xdr:from>
    <xdr:to>
      <xdr:col>5</xdr:col>
      <xdr:colOff>144780</xdr:colOff>
      <xdr:row>26</xdr:row>
      <xdr:rowOff>144780</xdr:rowOff>
    </xdr:to>
    <xdr:graphicFrame macro="">
      <xdr:nvGraphicFramePr>
        <xdr:cNvPr id="1235447" name="Chart 23">
          <a:extLst>
            <a:ext uri="{FF2B5EF4-FFF2-40B4-BE49-F238E27FC236}">
              <a16:creationId xmlns:a16="http://schemas.microsoft.com/office/drawing/2014/main" id="{F8BC9241-EAE6-17D8-D4AA-5A3982F8A0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99060</xdr:colOff>
      <xdr:row>18</xdr:row>
      <xdr:rowOff>76200</xdr:rowOff>
    </xdr:from>
    <xdr:to>
      <xdr:col>6</xdr:col>
      <xdr:colOff>868680</xdr:colOff>
      <xdr:row>26</xdr:row>
      <xdr:rowOff>144780</xdr:rowOff>
    </xdr:to>
    <xdr:graphicFrame macro="">
      <xdr:nvGraphicFramePr>
        <xdr:cNvPr id="1235448" name="Chart 24">
          <a:extLst>
            <a:ext uri="{FF2B5EF4-FFF2-40B4-BE49-F238E27FC236}">
              <a16:creationId xmlns:a16="http://schemas.microsoft.com/office/drawing/2014/main" id="{225470B4-8648-F658-C18D-682B9C0C9F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22860</xdr:colOff>
      <xdr:row>10</xdr:row>
      <xdr:rowOff>30480</xdr:rowOff>
    </xdr:from>
    <xdr:to>
      <xdr:col>13</xdr:col>
      <xdr:colOff>114300</xdr:colOff>
      <xdr:row>18</xdr:row>
      <xdr:rowOff>99060</xdr:rowOff>
    </xdr:to>
    <xdr:graphicFrame macro="">
      <xdr:nvGraphicFramePr>
        <xdr:cNvPr id="1235449" name="Chart 25">
          <a:extLst>
            <a:ext uri="{FF2B5EF4-FFF2-40B4-BE49-F238E27FC236}">
              <a16:creationId xmlns:a16="http://schemas.microsoft.com/office/drawing/2014/main" id="{A28DA218-A761-3392-B9AB-B1C4323D7A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76200</xdr:colOff>
      <xdr:row>10</xdr:row>
      <xdr:rowOff>30480</xdr:rowOff>
    </xdr:from>
    <xdr:to>
      <xdr:col>14</xdr:col>
      <xdr:colOff>861060</xdr:colOff>
      <xdr:row>18</xdr:row>
      <xdr:rowOff>99060</xdr:rowOff>
    </xdr:to>
    <xdr:graphicFrame macro="">
      <xdr:nvGraphicFramePr>
        <xdr:cNvPr id="1235450" name="Chart 26">
          <a:extLst>
            <a:ext uri="{FF2B5EF4-FFF2-40B4-BE49-F238E27FC236}">
              <a16:creationId xmlns:a16="http://schemas.microsoft.com/office/drawing/2014/main" id="{46B5137B-AB7E-C237-C060-B28F70E53E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30480</xdr:colOff>
      <xdr:row>18</xdr:row>
      <xdr:rowOff>60960</xdr:rowOff>
    </xdr:from>
    <xdr:to>
      <xdr:col>11</xdr:col>
      <xdr:colOff>342900</xdr:colOff>
      <xdr:row>26</xdr:row>
      <xdr:rowOff>137160</xdr:rowOff>
    </xdr:to>
    <xdr:graphicFrame macro="">
      <xdr:nvGraphicFramePr>
        <xdr:cNvPr id="1235451" name="Chart 27">
          <a:extLst>
            <a:ext uri="{FF2B5EF4-FFF2-40B4-BE49-F238E27FC236}">
              <a16:creationId xmlns:a16="http://schemas.microsoft.com/office/drawing/2014/main" id="{C1A0D32A-2760-EFE1-28DC-61A22B518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243840</xdr:colOff>
      <xdr:row>18</xdr:row>
      <xdr:rowOff>76200</xdr:rowOff>
    </xdr:from>
    <xdr:to>
      <xdr:col>13</xdr:col>
      <xdr:colOff>144780</xdr:colOff>
      <xdr:row>26</xdr:row>
      <xdr:rowOff>144780</xdr:rowOff>
    </xdr:to>
    <xdr:graphicFrame macro="">
      <xdr:nvGraphicFramePr>
        <xdr:cNvPr id="1235452" name="Chart 28">
          <a:extLst>
            <a:ext uri="{FF2B5EF4-FFF2-40B4-BE49-F238E27FC236}">
              <a16:creationId xmlns:a16="http://schemas.microsoft.com/office/drawing/2014/main" id="{AE00555C-C939-9863-FEA7-951635A5A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99060</xdr:colOff>
      <xdr:row>18</xdr:row>
      <xdr:rowOff>76200</xdr:rowOff>
    </xdr:from>
    <xdr:to>
      <xdr:col>14</xdr:col>
      <xdr:colOff>868680</xdr:colOff>
      <xdr:row>26</xdr:row>
      <xdr:rowOff>144780</xdr:rowOff>
    </xdr:to>
    <xdr:graphicFrame macro="">
      <xdr:nvGraphicFramePr>
        <xdr:cNvPr id="1235453" name="Chart 29">
          <a:extLst>
            <a:ext uri="{FF2B5EF4-FFF2-40B4-BE49-F238E27FC236}">
              <a16:creationId xmlns:a16="http://schemas.microsoft.com/office/drawing/2014/main" id="{E51C1A3F-10F6-D77B-1512-1B9D3D824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7620</xdr:colOff>
      <xdr:row>10</xdr:row>
      <xdr:rowOff>38100</xdr:rowOff>
    </xdr:from>
    <xdr:to>
      <xdr:col>20</xdr:col>
      <xdr:colOff>106680</xdr:colOff>
      <xdr:row>18</xdr:row>
      <xdr:rowOff>106680</xdr:rowOff>
    </xdr:to>
    <xdr:graphicFrame macro="">
      <xdr:nvGraphicFramePr>
        <xdr:cNvPr id="1235454" name="Chart 30">
          <a:extLst>
            <a:ext uri="{FF2B5EF4-FFF2-40B4-BE49-F238E27FC236}">
              <a16:creationId xmlns:a16="http://schemas.microsoft.com/office/drawing/2014/main" id="{1AAE24F5-0A53-944B-AE4C-700BFB7F55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20</xdr:col>
      <xdr:colOff>76200</xdr:colOff>
      <xdr:row>10</xdr:row>
      <xdr:rowOff>38100</xdr:rowOff>
    </xdr:from>
    <xdr:to>
      <xdr:col>21</xdr:col>
      <xdr:colOff>861060</xdr:colOff>
      <xdr:row>18</xdr:row>
      <xdr:rowOff>106680</xdr:rowOff>
    </xdr:to>
    <xdr:graphicFrame macro="">
      <xdr:nvGraphicFramePr>
        <xdr:cNvPr id="1235455" name="Chart 31">
          <a:extLst>
            <a:ext uri="{FF2B5EF4-FFF2-40B4-BE49-F238E27FC236}">
              <a16:creationId xmlns:a16="http://schemas.microsoft.com/office/drawing/2014/main" id="{A84E8E2B-2D3F-B2AB-CBD0-C6DCC7E5B5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30480</xdr:colOff>
      <xdr:row>18</xdr:row>
      <xdr:rowOff>76200</xdr:rowOff>
    </xdr:from>
    <xdr:to>
      <xdr:col>18</xdr:col>
      <xdr:colOff>342900</xdr:colOff>
      <xdr:row>26</xdr:row>
      <xdr:rowOff>144780</xdr:rowOff>
    </xdr:to>
    <xdr:graphicFrame macro="">
      <xdr:nvGraphicFramePr>
        <xdr:cNvPr id="1235456" name="Chart 32">
          <a:extLst>
            <a:ext uri="{FF2B5EF4-FFF2-40B4-BE49-F238E27FC236}">
              <a16:creationId xmlns:a16="http://schemas.microsoft.com/office/drawing/2014/main" id="{A86B1C72-E1E3-EA01-8C58-321E2080F5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18</xdr:col>
      <xdr:colOff>243840</xdr:colOff>
      <xdr:row>18</xdr:row>
      <xdr:rowOff>76200</xdr:rowOff>
    </xdr:from>
    <xdr:to>
      <xdr:col>20</xdr:col>
      <xdr:colOff>144780</xdr:colOff>
      <xdr:row>26</xdr:row>
      <xdr:rowOff>144780</xdr:rowOff>
    </xdr:to>
    <xdr:graphicFrame macro="">
      <xdr:nvGraphicFramePr>
        <xdr:cNvPr id="1235457" name="Chart 33">
          <a:extLst>
            <a:ext uri="{FF2B5EF4-FFF2-40B4-BE49-F238E27FC236}">
              <a16:creationId xmlns:a16="http://schemas.microsoft.com/office/drawing/2014/main" id="{40D56397-7CE7-8721-6E16-F994FD88C0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20</xdr:col>
      <xdr:colOff>99060</xdr:colOff>
      <xdr:row>18</xdr:row>
      <xdr:rowOff>76200</xdr:rowOff>
    </xdr:from>
    <xdr:to>
      <xdr:col>21</xdr:col>
      <xdr:colOff>868680</xdr:colOff>
      <xdr:row>26</xdr:row>
      <xdr:rowOff>144780</xdr:rowOff>
    </xdr:to>
    <xdr:graphicFrame macro="">
      <xdr:nvGraphicFramePr>
        <xdr:cNvPr id="1235458" name="Chart 34">
          <a:extLst>
            <a:ext uri="{FF2B5EF4-FFF2-40B4-BE49-F238E27FC236}">
              <a16:creationId xmlns:a16="http://schemas.microsoft.com/office/drawing/2014/main" id="{2105EB23-DFB2-D0B3-43F4-268F26C69B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106680</xdr:colOff>
      <xdr:row>36</xdr:row>
      <xdr:rowOff>30480</xdr:rowOff>
    </xdr:from>
    <xdr:to>
      <xdr:col>7</xdr:col>
      <xdr:colOff>0</xdr:colOff>
      <xdr:row>44</xdr:row>
      <xdr:rowOff>99060</xdr:rowOff>
    </xdr:to>
    <xdr:graphicFrame macro="">
      <xdr:nvGraphicFramePr>
        <xdr:cNvPr id="1235459" name="Chart 36">
          <a:extLst>
            <a:ext uri="{FF2B5EF4-FFF2-40B4-BE49-F238E27FC236}">
              <a16:creationId xmlns:a16="http://schemas.microsoft.com/office/drawing/2014/main" id="{C877C06A-BF00-0A6C-E4F5-41AD84620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22860</xdr:colOff>
      <xdr:row>44</xdr:row>
      <xdr:rowOff>53340</xdr:rowOff>
    </xdr:from>
    <xdr:to>
      <xdr:col>3</xdr:col>
      <xdr:colOff>335280</xdr:colOff>
      <xdr:row>52</xdr:row>
      <xdr:rowOff>129540</xdr:rowOff>
    </xdr:to>
    <xdr:graphicFrame macro="">
      <xdr:nvGraphicFramePr>
        <xdr:cNvPr id="1235460" name="Chart 37">
          <a:extLst>
            <a:ext uri="{FF2B5EF4-FFF2-40B4-BE49-F238E27FC236}">
              <a16:creationId xmlns:a16="http://schemas.microsoft.com/office/drawing/2014/main" id="{F1881893-3620-5AF1-BC04-EED25603B7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243840</xdr:colOff>
      <xdr:row>44</xdr:row>
      <xdr:rowOff>76200</xdr:rowOff>
    </xdr:from>
    <xdr:to>
      <xdr:col>5</xdr:col>
      <xdr:colOff>144780</xdr:colOff>
      <xdr:row>52</xdr:row>
      <xdr:rowOff>144780</xdr:rowOff>
    </xdr:to>
    <xdr:graphicFrame macro="">
      <xdr:nvGraphicFramePr>
        <xdr:cNvPr id="1235461" name="Chart 38">
          <a:extLst>
            <a:ext uri="{FF2B5EF4-FFF2-40B4-BE49-F238E27FC236}">
              <a16:creationId xmlns:a16="http://schemas.microsoft.com/office/drawing/2014/main" id="{D29DBE6C-A800-6E7F-5B90-201CCE11D2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99060</xdr:colOff>
      <xdr:row>44</xdr:row>
      <xdr:rowOff>76200</xdr:rowOff>
    </xdr:from>
    <xdr:to>
      <xdr:col>6</xdr:col>
      <xdr:colOff>868680</xdr:colOff>
      <xdr:row>52</xdr:row>
      <xdr:rowOff>144780</xdr:rowOff>
    </xdr:to>
    <xdr:graphicFrame macro="">
      <xdr:nvGraphicFramePr>
        <xdr:cNvPr id="1235462" name="Chart 39">
          <a:extLst>
            <a:ext uri="{FF2B5EF4-FFF2-40B4-BE49-F238E27FC236}">
              <a16:creationId xmlns:a16="http://schemas.microsoft.com/office/drawing/2014/main" id="{758757C1-5DDF-0CEA-4C10-80453D3D48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22860</xdr:colOff>
      <xdr:row>36</xdr:row>
      <xdr:rowOff>15240</xdr:rowOff>
    </xdr:from>
    <xdr:to>
      <xdr:col>13</xdr:col>
      <xdr:colOff>114300</xdr:colOff>
      <xdr:row>44</xdr:row>
      <xdr:rowOff>91440</xdr:rowOff>
    </xdr:to>
    <xdr:graphicFrame macro="">
      <xdr:nvGraphicFramePr>
        <xdr:cNvPr id="1235463" name="Chart 40">
          <a:extLst>
            <a:ext uri="{FF2B5EF4-FFF2-40B4-BE49-F238E27FC236}">
              <a16:creationId xmlns:a16="http://schemas.microsoft.com/office/drawing/2014/main" id="{D125786A-3D4F-B759-43BE-49DB2BBC66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13</xdr:col>
      <xdr:colOff>76200</xdr:colOff>
      <xdr:row>36</xdr:row>
      <xdr:rowOff>7620</xdr:rowOff>
    </xdr:from>
    <xdr:to>
      <xdr:col>14</xdr:col>
      <xdr:colOff>861060</xdr:colOff>
      <xdr:row>44</xdr:row>
      <xdr:rowOff>83820</xdr:rowOff>
    </xdr:to>
    <xdr:graphicFrame macro="">
      <xdr:nvGraphicFramePr>
        <xdr:cNvPr id="1235464" name="Chart 41">
          <a:extLst>
            <a:ext uri="{FF2B5EF4-FFF2-40B4-BE49-F238E27FC236}">
              <a16:creationId xmlns:a16="http://schemas.microsoft.com/office/drawing/2014/main" id="{629A2932-8EE2-A4EB-A5E1-0A83EE81D2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30480</xdr:colOff>
      <xdr:row>44</xdr:row>
      <xdr:rowOff>60960</xdr:rowOff>
    </xdr:from>
    <xdr:to>
      <xdr:col>11</xdr:col>
      <xdr:colOff>342900</xdr:colOff>
      <xdr:row>52</xdr:row>
      <xdr:rowOff>137160</xdr:rowOff>
    </xdr:to>
    <xdr:graphicFrame macro="">
      <xdr:nvGraphicFramePr>
        <xdr:cNvPr id="1235465" name="Chart 42">
          <a:extLst>
            <a:ext uri="{FF2B5EF4-FFF2-40B4-BE49-F238E27FC236}">
              <a16:creationId xmlns:a16="http://schemas.microsoft.com/office/drawing/2014/main" id="{2AC7539D-2966-D048-CEBE-FF7BA2CA66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11</xdr:col>
      <xdr:colOff>243840</xdr:colOff>
      <xdr:row>44</xdr:row>
      <xdr:rowOff>76200</xdr:rowOff>
    </xdr:from>
    <xdr:to>
      <xdr:col>13</xdr:col>
      <xdr:colOff>144780</xdr:colOff>
      <xdr:row>52</xdr:row>
      <xdr:rowOff>144780</xdr:rowOff>
    </xdr:to>
    <xdr:graphicFrame macro="">
      <xdr:nvGraphicFramePr>
        <xdr:cNvPr id="1235466" name="Chart 43">
          <a:extLst>
            <a:ext uri="{FF2B5EF4-FFF2-40B4-BE49-F238E27FC236}">
              <a16:creationId xmlns:a16="http://schemas.microsoft.com/office/drawing/2014/main" id="{CFE3504B-DDA0-F095-450F-918125C0F4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13</xdr:col>
      <xdr:colOff>99060</xdr:colOff>
      <xdr:row>44</xdr:row>
      <xdr:rowOff>76200</xdr:rowOff>
    </xdr:from>
    <xdr:to>
      <xdr:col>14</xdr:col>
      <xdr:colOff>868680</xdr:colOff>
      <xdr:row>52</xdr:row>
      <xdr:rowOff>144780</xdr:rowOff>
    </xdr:to>
    <xdr:graphicFrame macro="">
      <xdr:nvGraphicFramePr>
        <xdr:cNvPr id="1235467" name="Chart 44">
          <a:extLst>
            <a:ext uri="{FF2B5EF4-FFF2-40B4-BE49-F238E27FC236}">
              <a16:creationId xmlns:a16="http://schemas.microsoft.com/office/drawing/2014/main" id="{199891B9-498B-29C6-ABC1-60A26EC733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16</xdr:col>
      <xdr:colOff>7620</xdr:colOff>
      <xdr:row>36</xdr:row>
      <xdr:rowOff>30480</xdr:rowOff>
    </xdr:from>
    <xdr:to>
      <xdr:col>20</xdr:col>
      <xdr:colOff>106680</xdr:colOff>
      <xdr:row>44</xdr:row>
      <xdr:rowOff>99060</xdr:rowOff>
    </xdr:to>
    <xdr:graphicFrame macro="">
      <xdr:nvGraphicFramePr>
        <xdr:cNvPr id="1235468" name="Chart 45">
          <a:extLst>
            <a:ext uri="{FF2B5EF4-FFF2-40B4-BE49-F238E27FC236}">
              <a16:creationId xmlns:a16="http://schemas.microsoft.com/office/drawing/2014/main" id="{20E9490E-9207-978E-0418-5BE080B3CC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20</xdr:col>
      <xdr:colOff>76200</xdr:colOff>
      <xdr:row>36</xdr:row>
      <xdr:rowOff>7620</xdr:rowOff>
    </xdr:from>
    <xdr:to>
      <xdr:col>21</xdr:col>
      <xdr:colOff>861060</xdr:colOff>
      <xdr:row>44</xdr:row>
      <xdr:rowOff>83820</xdr:rowOff>
    </xdr:to>
    <xdr:graphicFrame macro="">
      <xdr:nvGraphicFramePr>
        <xdr:cNvPr id="1235469" name="Chart 46">
          <a:extLst>
            <a:ext uri="{FF2B5EF4-FFF2-40B4-BE49-F238E27FC236}">
              <a16:creationId xmlns:a16="http://schemas.microsoft.com/office/drawing/2014/main" id="{0E4B405F-2815-EF1F-FCCB-E8A6D39E2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16</xdr:col>
      <xdr:colOff>38100</xdr:colOff>
      <xdr:row>44</xdr:row>
      <xdr:rowOff>76200</xdr:rowOff>
    </xdr:from>
    <xdr:to>
      <xdr:col>18</xdr:col>
      <xdr:colOff>350520</xdr:colOff>
      <xdr:row>52</xdr:row>
      <xdr:rowOff>144780</xdr:rowOff>
    </xdr:to>
    <xdr:graphicFrame macro="">
      <xdr:nvGraphicFramePr>
        <xdr:cNvPr id="1235470" name="Chart 47">
          <a:extLst>
            <a:ext uri="{FF2B5EF4-FFF2-40B4-BE49-F238E27FC236}">
              <a16:creationId xmlns:a16="http://schemas.microsoft.com/office/drawing/2014/main" id="{03B05822-F982-E072-5F8D-2C7290135F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18</xdr:col>
      <xdr:colOff>243840</xdr:colOff>
      <xdr:row>44</xdr:row>
      <xdr:rowOff>76200</xdr:rowOff>
    </xdr:from>
    <xdr:to>
      <xdr:col>20</xdr:col>
      <xdr:colOff>144780</xdr:colOff>
      <xdr:row>52</xdr:row>
      <xdr:rowOff>144780</xdr:rowOff>
    </xdr:to>
    <xdr:graphicFrame macro="">
      <xdr:nvGraphicFramePr>
        <xdr:cNvPr id="1235471" name="Chart 48">
          <a:extLst>
            <a:ext uri="{FF2B5EF4-FFF2-40B4-BE49-F238E27FC236}">
              <a16:creationId xmlns:a16="http://schemas.microsoft.com/office/drawing/2014/main" id="{E3C6EA7B-AC0F-A654-79D2-55B446246F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20</xdr:col>
      <xdr:colOff>99060</xdr:colOff>
      <xdr:row>44</xdr:row>
      <xdr:rowOff>76200</xdr:rowOff>
    </xdr:from>
    <xdr:to>
      <xdr:col>21</xdr:col>
      <xdr:colOff>868680</xdr:colOff>
      <xdr:row>52</xdr:row>
      <xdr:rowOff>144780</xdr:rowOff>
    </xdr:to>
    <xdr:graphicFrame macro="">
      <xdr:nvGraphicFramePr>
        <xdr:cNvPr id="1235472" name="Chart 49">
          <a:extLst>
            <a:ext uri="{FF2B5EF4-FFF2-40B4-BE49-F238E27FC236}">
              <a16:creationId xmlns:a16="http://schemas.microsoft.com/office/drawing/2014/main" id="{E4D8AED1-7B6E-52F3-9DFA-6AF66A2D1E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xdr:col>
      <xdr:colOff>7620</xdr:colOff>
      <xdr:row>62</xdr:row>
      <xdr:rowOff>30480</xdr:rowOff>
    </xdr:from>
    <xdr:to>
      <xdr:col>5</xdr:col>
      <xdr:colOff>106680</xdr:colOff>
      <xdr:row>70</xdr:row>
      <xdr:rowOff>99060</xdr:rowOff>
    </xdr:to>
    <xdr:graphicFrame macro="">
      <xdr:nvGraphicFramePr>
        <xdr:cNvPr id="1235473" name="Chart 50">
          <a:extLst>
            <a:ext uri="{FF2B5EF4-FFF2-40B4-BE49-F238E27FC236}">
              <a16:creationId xmlns:a16="http://schemas.microsoft.com/office/drawing/2014/main" id="{D797C55C-D43D-7E28-E1EA-E030D172AA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5</xdr:col>
      <xdr:colOff>99060</xdr:colOff>
      <xdr:row>62</xdr:row>
      <xdr:rowOff>30480</xdr:rowOff>
    </xdr:from>
    <xdr:to>
      <xdr:col>6</xdr:col>
      <xdr:colOff>868680</xdr:colOff>
      <xdr:row>70</xdr:row>
      <xdr:rowOff>99060</xdr:rowOff>
    </xdr:to>
    <xdr:graphicFrame macro="">
      <xdr:nvGraphicFramePr>
        <xdr:cNvPr id="1235474" name="Chart 51">
          <a:extLst>
            <a:ext uri="{FF2B5EF4-FFF2-40B4-BE49-F238E27FC236}">
              <a16:creationId xmlns:a16="http://schemas.microsoft.com/office/drawing/2014/main" id="{E8365AEF-84A8-5920-78A8-2D5A8CE8F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xdr:col>
      <xdr:colOff>30480</xdr:colOff>
      <xdr:row>70</xdr:row>
      <xdr:rowOff>60960</xdr:rowOff>
    </xdr:from>
    <xdr:to>
      <xdr:col>3</xdr:col>
      <xdr:colOff>342900</xdr:colOff>
      <xdr:row>78</xdr:row>
      <xdr:rowOff>137160</xdr:rowOff>
    </xdr:to>
    <xdr:graphicFrame macro="">
      <xdr:nvGraphicFramePr>
        <xdr:cNvPr id="1235475" name="Chart 52">
          <a:extLst>
            <a:ext uri="{FF2B5EF4-FFF2-40B4-BE49-F238E27FC236}">
              <a16:creationId xmlns:a16="http://schemas.microsoft.com/office/drawing/2014/main" id="{85524161-D622-EACC-225A-FC3930ECF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3</xdr:col>
      <xdr:colOff>243840</xdr:colOff>
      <xdr:row>70</xdr:row>
      <xdr:rowOff>76200</xdr:rowOff>
    </xdr:from>
    <xdr:to>
      <xdr:col>5</xdr:col>
      <xdr:colOff>144780</xdr:colOff>
      <xdr:row>78</xdr:row>
      <xdr:rowOff>144780</xdr:rowOff>
    </xdr:to>
    <xdr:graphicFrame macro="">
      <xdr:nvGraphicFramePr>
        <xdr:cNvPr id="1235476" name="Chart 53">
          <a:extLst>
            <a:ext uri="{FF2B5EF4-FFF2-40B4-BE49-F238E27FC236}">
              <a16:creationId xmlns:a16="http://schemas.microsoft.com/office/drawing/2014/main" id="{10A977F5-07BC-1462-072F-7A8917ED0C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5</xdr:col>
      <xdr:colOff>99060</xdr:colOff>
      <xdr:row>70</xdr:row>
      <xdr:rowOff>76200</xdr:rowOff>
    </xdr:from>
    <xdr:to>
      <xdr:col>6</xdr:col>
      <xdr:colOff>868680</xdr:colOff>
      <xdr:row>78</xdr:row>
      <xdr:rowOff>144780</xdr:rowOff>
    </xdr:to>
    <xdr:graphicFrame macro="">
      <xdr:nvGraphicFramePr>
        <xdr:cNvPr id="1235477" name="Chart 54">
          <a:extLst>
            <a:ext uri="{FF2B5EF4-FFF2-40B4-BE49-F238E27FC236}">
              <a16:creationId xmlns:a16="http://schemas.microsoft.com/office/drawing/2014/main" id="{102FB668-B3B6-6EDA-8732-1446D5EA8B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9</xdr:col>
      <xdr:colOff>30480</xdr:colOff>
      <xdr:row>62</xdr:row>
      <xdr:rowOff>38100</xdr:rowOff>
    </xdr:from>
    <xdr:to>
      <xdr:col>13</xdr:col>
      <xdr:colOff>137160</xdr:colOff>
      <xdr:row>70</xdr:row>
      <xdr:rowOff>106680</xdr:rowOff>
    </xdr:to>
    <xdr:graphicFrame macro="">
      <xdr:nvGraphicFramePr>
        <xdr:cNvPr id="1235478" name="Chart 55">
          <a:extLst>
            <a:ext uri="{FF2B5EF4-FFF2-40B4-BE49-F238E27FC236}">
              <a16:creationId xmlns:a16="http://schemas.microsoft.com/office/drawing/2014/main" id="{1FAC3E44-D8BF-A73B-4CDA-30438EA7FD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13</xdr:col>
      <xdr:colOff>76200</xdr:colOff>
      <xdr:row>62</xdr:row>
      <xdr:rowOff>53340</xdr:rowOff>
    </xdr:from>
    <xdr:to>
      <xdr:col>14</xdr:col>
      <xdr:colOff>861060</xdr:colOff>
      <xdr:row>70</xdr:row>
      <xdr:rowOff>129540</xdr:rowOff>
    </xdr:to>
    <xdr:graphicFrame macro="">
      <xdr:nvGraphicFramePr>
        <xdr:cNvPr id="1235479" name="Chart 56">
          <a:extLst>
            <a:ext uri="{FF2B5EF4-FFF2-40B4-BE49-F238E27FC236}">
              <a16:creationId xmlns:a16="http://schemas.microsoft.com/office/drawing/2014/main" id="{3DC63F3C-4B48-780B-9589-A848368C43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9</xdr:col>
      <xdr:colOff>38100</xdr:colOff>
      <xdr:row>70</xdr:row>
      <xdr:rowOff>60960</xdr:rowOff>
    </xdr:from>
    <xdr:to>
      <xdr:col>11</xdr:col>
      <xdr:colOff>350520</xdr:colOff>
      <xdr:row>78</xdr:row>
      <xdr:rowOff>137160</xdr:rowOff>
    </xdr:to>
    <xdr:graphicFrame macro="">
      <xdr:nvGraphicFramePr>
        <xdr:cNvPr id="1235480" name="Chart 57">
          <a:extLst>
            <a:ext uri="{FF2B5EF4-FFF2-40B4-BE49-F238E27FC236}">
              <a16:creationId xmlns:a16="http://schemas.microsoft.com/office/drawing/2014/main" id="{8F510D7C-97DF-D2B2-9F59-A748B49232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11</xdr:col>
      <xdr:colOff>243840</xdr:colOff>
      <xdr:row>70</xdr:row>
      <xdr:rowOff>76200</xdr:rowOff>
    </xdr:from>
    <xdr:to>
      <xdr:col>13</xdr:col>
      <xdr:colOff>144780</xdr:colOff>
      <xdr:row>78</xdr:row>
      <xdr:rowOff>144780</xdr:rowOff>
    </xdr:to>
    <xdr:graphicFrame macro="">
      <xdr:nvGraphicFramePr>
        <xdr:cNvPr id="1235481" name="Chart 58">
          <a:extLst>
            <a:ext uri="{FF2B5EF4-FFF2-40B4-BE49-F238E27FC236}">
              <a16:creationId xmlns:a16="http://schemas.microsoft.com/office/drawing/2014/main" id="{E9FAE113-C8A7-037F-75DC-3A23B64AF5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13</xdr:col>
      <xdr:colOff>99060</xdr:colOff>
      <xdr:row>70</xdr:row>
      <xdr:rowOff>76200</xdr:rowOff>
    </xdr:from>
    <xdr:to>
      <xdr:col>14</xdr:col>
      <xdr:colOff>868680</xdr:colOff>
      <xdr:row>78</xdr:row>
      <xdr:rowOff>144780</xdr:rowOff>
    </xdr:to>
    <xdr:graphicFrame macro="">
      <xdr:nvGraphicFramePr>
        <xdr:cNvPr id="1235482" name="Chart 59">
          <a:extLst>
            <a:ext uri="{FF2B5EF4-FFF2-40B4-BE49-F238E27FC236}">
              <a16:creationId xmlns:a16="http://schemas.microsoft.com/office/drawing/2014/main" id="{0C4D6D38-F8B7-283A-F4C2-E2BB50D94E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16</xdr:col>
      <xdr:colOff>22860</xdr:colOff>
      <xdr:row>62</xdr:row>
      <xdr:rowOff>38100</xdr:rowOff>
    </xdr:from>
    <xdr:to>
      <xdr:col>20</xdr:col>
      <xdr:colOff>114300</xdr:colOff>
      <xdr:row>70</xdr:row>
      <xdr:rowOff>106680</xdr:rowOff>
    </xdr:to>
    <xdr:graphicFrame macro="">
      <xdr:nvGraphicFramePr>
        <xdr:cNvPr id="1235483" name="Chart 60">
          <a:extLst>
            <a:ext uri="{FF2B5EF4-FFF2-40B4-BE49-F238E27FC236}">
              <a16:creationId xmlns:a16="http://schemas.microsoft.com/office/drawing/2014/main" id="{975D09EB-42C6-DDBD-2BC0-86D621BE1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20</xdr:col>
      <xdr:colOff>76200</xdr:colOff>
      <xdr:row>62</xdr:row>
      <xdr:rowOff>30480</xdr:rowOff>
    </xdr:from>
    <xdr:to>
      <xdr:col>21</xdr:col>
      <xdr:colOff>861060</xdr:colOff>
      <xdr:row>70</xdr:row>
      <xdr:rowOff>99060</xdr:rowOff>
    </xdr:to>
    <xdr:graphicFrame macro="">
      <xdr:nvGraphicFramePr>
        <xdr:cNvPr id="1235484" name="Chart 61">
          <a:extLst>
            <a:ext uri="{FF2B5EF4-FFF2-40B4-BE49-F238E27FC236}">
              <a16:creationId xmlns:a16="http://schemas.microsoft.com/office/drawing/2014/main" id="{6D46628E-012C-3211-D128-7333F62E66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16</xdr:col>
      <xdr:colOff>30480</xdr:colOff>
      <xdr:row>70</xdr:row>
      <xdr:rowOff>83820</xdr:rowOff>
    </xdr:from>
    <xdr:to>
      <xdr:col>18</xdr:col>
      <xdr:colOff>342900</xdr:colOff>
      <xdr:row>78</xdr:row>
      <xdr:rowOff>152400</xdr:rowOff>
    </xdr:to>
    <xdr:graphicFrame macro="">
      <xdr:nvGraphicFramePr>
        <xdr:cNvPr id="1235485" name="Chart 62">
          <a:extLst>
            <a:ext uri="{FF2B5EF4-FFF2-40B4-BE49-F238E27FC236}">
              <a16:creationId xmlns:a16="http://schemas.microsoft.com/office/drawing/2014/main" id="{70568A62-C56A-4D76-23FC-3A67B13F66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18</xdr:col>
      <xdr:colOff>243840</xdr:colOff>
      <xdr:row>70</xdr:row>
      <xdr:rowOff>76200</xdr:rowOff>
    </xdr:from>
    <xdr:to>
      <xdr:col>20</xdr:col>
      <xdr:colOff>144780</xdr:colOff>
      <xdr:row>78</xdr:row>
      <xdr:rowOff>144780</xdr:rowOff>
    </xdr:to>
    <xdr:graphicFrame macro="">
      <xdr:nvGraphicFramePr>
        <xdr:cNvPr id="1235486" name="Chart 63">
          <a:extLst>
            <a:ext uri="{FF2B5EF4-FFF2-40B4-BE49-F238E27FC236}">
              <a16:creationId xmlns:a16="http://schemas.microsoft.com/office/drawing/2014/main" id="{36B0E642-2FF4-8516-19E4-9F17AC9C81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20</xdr:col>
      <xdr:colOff>99060</xdr:colOff>
      <xdr:row>70</xdr:row>
      <xdr:rowOff>76200</xdr:rowOff>
    </xdr:from>
    <xdr:to>
      <xdr:col>21</xdr:col>
      <xdr:colOff>868680</xdr:colOff>
      <xdr:row>78</xdr:row>
      <xdr:rowOff>144780</xdr:rowOff>
    </xdr:to>
    <xdr:graphicFrame macro="">
      <xdr:nvGraphicFramePr>
        <xdr:cNvPr id="1235487" name="Chart 64">
          <a:extLst>
            <a:ext uri="{FF2B5EF4-FFF2-40B4-BE49-F238E27FC236}">
              <a16:creationId xmlns:a16="http://schemas.microsoft.com/office/drawing/2014/main" id="{2E468580-C94B-ED67-6B97-8A3979EBFC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xdr:col>
      <xdr:colOff>7620</xdr:colOff>
      <xdr:row>88</xdr:row>
      <xdr:rowOff>38100</xdr:rowOff>
    </xdr:from>
    <xdr:to>
      <xdr:col>5</xdr:col>
      <xdr:colOff>106680</xdr:colOff>
      <xdr:row>96</xdr:row>
      <xdr:rowOff>106680</xdr:rowOff>
    </xdr:to>
    <xdr:graphicFrame macro="">
      <xdr:nvGraphicFramePr>
        <xdr:cNvPr id="1235488" name="Chart 65">
          <a:extLst>
            <a:ext uri="{FF2B5EF4-FFF2-40B4-BE49-F238E27FC236}">
              <a16:creationId xmlns:a16="http://schemas.microsoft.com/office/drawing/2014/main" id="{F54FB184-4FBD-6EE8-F8E3-07F38265EC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5</xdr:col>
      <xdr:colOff>99060</xdr:colOff>
      <xdr:row>88</xdr:row>
      <xdr:rowOff>30480</xdr:rowOff>
    </xdr:from>
    <xdr:to>
      <xdr:col>6</xdr:col>
      <xdr:colOff>868680</xdr:colOff>
      <xdr:row>96</xdr:row>
      <xdr:rowOff>99060</xdr:rowOff>
    </xdr:to>
    <xdr:graphicFrame macro="">
      <xdr:nvGraphicFramePr>
        <xdr:cNvPr id="1235489" name="Chart 66">
          <a:extLst>
            <a:ext uri="{FF2B5EF4-FFF2-40B4-BE49-F238E27FC236}">
              <a16:creationId xmlns:a16="http://schemas.microsoft.com/office/drawing/2014/main" id="{9F0AC8CD-FFEA-A34B-7821-96063DE544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xdr:col>
      <xdr:colOff>30480</xdr:colOff>
      <xdr:row>96</xdr:row>
      <xdr:rowOff>91440</xdr:rowOff>
    </xdr:from>
    <xdr:to>
      <xdr:col>3</xdr:col>
      <xdr:colOff>342900</xdr:colOff>
      <xdr:row>104</xdr:row>
      <xdr:rowOff>167640</xdr:rowOff>
    </xdr:to>
    <xdr:graphicFrame macro="">
      <xdr:nvGraphicFramePr>
        <xdr:cNvPr id="1235490" name="Chart 67">
          <a:extLst>
            <a:ext uri="{FF2B5EF4-FFF2-40B4-BE49-F238E27FC236}">
              <a16:creationId xmlns:a16="http://schemas.microsoft.com/office/drawing/2014/main" id="{97F5C151-F46F-3FA0-8E64-FE3B1792C7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3</xdr:col>
      <xdr:colOff>243840</xdr:colOff>
      <xdr:row>96</xdr:row>
      <xdr:rowOff>76200</xdr:rowOff>
    </xdr:from>
    <xdr:to>
      <xdr:col>5</xdr:col>
      <xdr:colOff>144780</xdr:colOff>
      <xdr:row>104</xdr:row>
      <xdr:rowOff>144780</xdr:rowOff>
    </xdr:to>
    <xdr:graphicFrame macro="">
      <xdr:nvGraphicFramePr>
        <xdr:cNvPr id="1235491" name="Chart 68">
          <a:extLst>
            <a:ext uri="{FF2B5EF4-FFF2-40B4-BE49-F238E27FC236}">
              <a16:creationId xmlns:a16="http://schemas.microsoft.com/office/drawing/2014/main" id="{76A3E8F5-800C-7429-65BC-15BF642594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5</xdr:col>
      <xdr:colOff>99060</xdr:colOff>
      <xdr:row>96</xdr:row>
      <xdr:rowOff>76200</xdr:rowOff>
    </xdr:from>
    <xdr:to>
      <xdr:col>6</xdr:col>
      <xdr:colOff>868680</xdr:colOff>
      <xdr:row>104</xdr:row>
      <xdr:rowOff>144780</xdr:rowOff>
    </xdr:to>
    <xdr:graphicFrame macro="">
      <xdr:nvGraphicFramePr>
        <xdr:cNvPr id="1235492" name="Chart 69">
          <a:extLst>
            <a:ext uri="{FF2B5EF4-FFF2-40B4-BE49-F238E27FC236}">
              <a16:creationId xmlns:a16="http://schemas.microsoft.com/office/drawing/2014/main" id="{B3C9CA7C-FC25-E144-6113-18C005D79E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xdr:col>
      <xdr:colOff>30480</xdr:colOff>
      <xdr:row>36</xdr:row>
      <xdr:rowOff>30480</xdr:rowOff>
    </xdr:from>
    <xdr:to>
      <xdr:col>5</xdr:col>
      <xdr:colOff>129540</xdr:colOff>
      <xdr:row>44</xdr:row>
      <xdr:rowOff>99060</xdr:rowOff>
    </xdr:to>
    <xdr:graphicFrame macro="">
      <xdr:nvGraphicFramePr>
        <xdr:cNvPr id="1235493" name="Chart 72">
          <a:extLst>
            <a:ext uri="{FF2B5EF4-FFF2-40B4-BE49-F238E27FC236}">
              <a16:creationId xmlns:a16="http://schemas.microsoft.com/office/drawing/2014/main" id="{C6FCA54A-572F-50C5-B640-8948BCE76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68580</xdr:colOff>
      <xdr:row>10</xdr:row>
      <xdr:rowOff>7620</xdr:rowOff>
    </xdr:from>
    <xdr:to>
      <xdr:col>5</xdr:col>
      <xdr:colOff>868680</xdr:colOff>
      <xdr:row>26</xdr:row>
      <xdr:rowOff>152400</xdr:rowOff>
    </xdr:to>
    <xdr:graphicFrame macro="">
      <xdr:nvGraphicFramePr>
        <xdr:cNvPr id="3397" name="Chart 12">
          <a:extLst>
            <a:ext uri="{FF2B5EF4-FFF2-40B4-BE49-F238E27FC236}">
              <a16:creationId xmlns:a16="http://schemas.microsoft.com/office/drawing/2014/main" id="{143B4C20-F548-A393-5A63-7FEBD9156B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251460</xdr:colOff>
      <xdr:row>35</xdr:row>
      <xdr:rowOff>182880</xdr:rowOff>
    </xdr:from>
    <xdr:to>
      <xdr:col>14</xdr:col>
      <xdr:colOff>0</xdr:colOff>
      <xdr:row>52</xdr:row>
      <xdr:rowOff>144780</xdr:rowOff>
    </xdr:to>
    <xdr:graphicFrame macro="">
      <xdr:nvGraphicFramePr>
        <xdr:cNvPr id="3398" name="Chart 3">
          <a:extLst>
            <a:ext uri="{FF2B5EF4-FFF2-40B4-BE49-F238E27FC236}">
              <a16:creationId xmlns:a16="http://schemas.microsoft.com/office/drawing/2014/main" id="{3E071BBF-F4A8-FB45-5A37-D6B1297563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0</xdr:rowOff>
    </xdr:from>
    <xdr:to>
      <xdr:col>5</xdr:col>
      <xdr:colOff>868680</xdr:colOff>
      <xdr:row>52</xdr:row>
      <xdr:rowOff>144780</xdr:rowOff>
    </xdr:to>
    <xdr:graphicFrame macro="">
      <xdr:nvGraphicFramePr>
        <xdr:cNvPr id="3399" name="Chart 4">
          <a:extLst>
            <a:ext uri="{FF2B5EF4-FFF2-40B4-BE49-F238E27FC236}">
              <a16:creationId xmlns:a16="http://schemas.microsoft.com/office/drawing/2014/main" id="{7850C23E-0860-9A88-C5A8-5B8EB7D273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xdr:colOff>
      <xdr:row>62</xdr:row>
      <xdr:rowOff>0</xdr:rowOff>
    </xdr:from>
    <xdr:to>
      <xdr:col>6</xdr:col>
      <xdr:colOff>7620</xdr:colOff>
      <xdr:row>78</xdr:row>
      <xdr:rowOff>144780</xdr:rowOff>
    </xdr:to>
    <xdr:graphicFrame macro="">
      <xdr:nvGraphicFramePr>
        <xdr:cNvPr id="3400" name="Chart 5">
          <a:extLst>
            <a:ext uri="{FF2B5EF4-FFF2-40B4-BE49-F238E27FC236}">
              <a16:creationId xmlns:a16="http://schemas.microsoft.com/office/drawing/2014/main" id="{056578ED-EE6B-8F43-AF28-D49FF7C20E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22860</xdr:colOff>
      <xdr:row>88</xdr:row>
      <xdr:rowOff>7620</xdr:rowOff>
    </xdr:from>
    <xdr:to>
      <xdr:col>6</xdr:col>
      <xdr:colOff>7620</xdr:colOff>
      <xdr:row>104</xdr:row>
      <xdr:rowOff>76200</xdr:rowOff>
    </xdr:to>
    <xdr:graphicFrame macro="">
      <xdr:nvGraphicFramePr>
        <xdr:cNvPr id="3401" name="Chart 6">
          <a:extLst>
            <a:ext uri="{FF2B5EF4-FFF2-40B4-BE49-F238E27FC236}">
              <a16:creationId xmlns:a16="http://schemas.microsoft.com/office/drawing/2014/main" id="{48131223-48CE-E504-6375-2B6F02EA57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251460</xdr:colOff>
      <xdr:row>62</xdr:row>
      <xdr:rowOff>0</xdr:rowOff>
    </xdr:from>
    <xdr:to>
      <xdr:col>13</xdr:col>
      <xdr:colOff>800100</xdr:colOff>
      <xdr:row>78</xdr:row>
      <xdr:rowOff>144780</xdr:rowOff>
    </xdr:to>
    <xdr:graphicFrame macro="">
      <xdr:nvGraphicFramePr>
        <xdr:cNvPr id="3402" name="Chart 7">
          <a:extLst>
            <a:ext uri="{FF2B5EF4-FFF2-40B4-BE49-F238E27FC236}">
              <a16:creationId xmlns:a16="http://schemas.microsoft.com/office/drawing/2014/main" id="{4BC29723-1DDD-472C-6296-3E49F48FB9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251460</xdr:colOff>
      <xdr:row>36</xdr:row>
      <xdr:rowOff>7620</xdr:rowOff>
    </xdr:from>
    <xdr:to>
      <xdr:col>21</xdr:col>
      <xdr:colOff>7620</xdr:colOff>
      <xdr:row>52</xdr:row>
      <xdr:rowOff>152400</xdr:rowOff>
    </xdr:to>
    <xdr:graphicFrame macro="">
      <xdr:nvGraphicFramePr>
        <xdr:cNvPr id="3403" name="Chart 8">
          <a:extLst>
            <a:ext uri="{FF2B5EF4-FFF2-40B4-BE49-F238E27FC236}">
              <a16:creationId xmlns:a16="http://schemas.microsoft.com/office/drawing/2014/main" id="{72CF0261-C671-A1FC-0EFB-F8579F389D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0</xdr:colOff>
      <xdr:row>62</xdr:row>
      <xdr:rowOff>7620</xdr:rowOff>
    </xdr:from>
    <xdr:to>
      <xdr:col>21</xdr:col>
      <xdr:colOff>0</xdr:colOff>
      <xdr:row>78</xdr:row>
      <xdr:rowOff>152400</xdr:rowOff>
    </xdr:to>
    <xdr:graphicFrame macro="">
      <xdr:nvGraphicFramePr>
        <xdr:cNvPr id="3404" name="Chart 9">
          <a:extLst>
            <a:ext uri="{FF2B5EF4-FFF2-40B4-BE49-F238E27FC236}">
              <a16:creationId xmlns:a16="http://schemas.microsoft.com/office/drawing/2014/main" id="{6F7DD784-EA6D-8D12-47E9-E10FFCDE7A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251460</xdr:colOff>
      <xdr:row>10</xdr:row>
      <xdr:rowOff>0</xdr:rowOff>
    </xdr:from>
    <xdr:to>
      <xdr:col>13</xdr:col>
      <xdr:colOff>800100</xdr:colOff>
      <xdr:row>26</xdr:row>
      <xdr:rowOff>144780</xdr:rowOff>
    </xdr:to>
    <xdr:graphicFrame macro="">
      <xdr:nvGraphicFramePr>
        <xdr:cNvPr id="3405" name="Chart 10">
          <a:extLst>
            <a:ext uri="{FF2B5EF4-FFF2-40B4-BE49-F238E27FC236}">
              <a16:creationId xmlns:a16="http://schemas.microsoft.com/office/drawing/2014/main" id="{3A21A15E-27CF-85BE-14C6-EABF9A901D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15</xdr:col>
      <xdr:colOff>0</xdr:colOff>
      <xdr:row>10</xdr:row>
      <xdr:rowOff>0</xdr:rowOff>
    </xdr:from>
    <xdr:to>
      <xdr:col>21</xdr:col>
      <xdr:colOff>0</xdr:colOff>
      <xdr:row>26</xdr:row>
      <xdr:rowOff>144780</xdr:rowOff>
    </xdr:to>
    <xdr:graphicFrame macro="">
      <xdr:nvGraphicFramePr>
        <xdr:cNvPr id="3406" name="Chart 11">
          <a:extLst>
            <a:ext uri="{FF2B5EF4-FFF2-40B4-BE49-F238E27FC236}">
              <a16:creationId xmlns:a16="http://schemas.microsoft.com/office/drawing/2014/main" id="{988BC0C7-E7A4-93EB-5D0C-AD74534649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286"/>
  <sheetViews>
    <sheetView showGridLines="0" tabSelected="1" zoomScale="70" zoomScaleNormal="70" workbookViewId="0">
      <pane xSplit="5" ySplit="4" topLeftCell="I79" activePane="bottomRight" state="frozen"/>
      <selection pane="topRight" activeCell="F1" sqref="F1"/>
      <selection pane="bottomLeft" activeCell="A5" sqref="A5"/>
      <selection pane="bottomRight" activeCell="O79" sqref="O79"/>
    </sheetView>
  </sheetViews>
  <sheetFormatPr defaultColWidth="23" defaultRowHeight="14.4" x14ac:dyDescent="0.3"/>
  <cols>
    <col min="1" max="1" width="30.44140625" customWidth="1"/>
    <col min="2" max="2" width="37.109375" customWidth="1"/>
    <col min="3" max="5" width="26.6640625" customWidth="1"/>
    <col min="6" max="6" width="10.6640625" customWidth="1"/>
    <col min="7" max="7" width="26.6640625" customWidth="1"/>
    <col min="8" max="8" width="10.6640625" customWidth="1"/>
    <col min="9" max="9" width="26.6640625" customWidth="1"/>
    <col min="10" max="10" width="10.6640625" customWidth="1"/>
    <col min="11" max="11" width="26.6640625" customWidth="1"/>
    <col min="12" max="12" width="10.6640625" customWidth="1"/>
    <col min="13" max="13" width="26.6640625" customWidth="1"/>
    <col min="14" max="14" width="10.6640625" customWidth="1"/>
    <col min="15" max="15" width="26.6640625" customWidth="1"/>
  </cols>
  <sheetData>
    <row r="1" spans="1:15" ht="71.25" customHeight="1" x14ac:dyDescent="0.5">
      <c r="B1" s="27" t="s">
        <v>204</v>
      </c>
      <c r="C1" s="3"/>
    </row>
    <row r="2" spans="1:15" s="30" customFormat="1" ht="25.8" x14ac:dyDescent="0.3">
      <c r="A2" s="28" t="s">
        <v>157</v>
      </c>
      <c r="B2" s="29" t="s">
        <v>6</v>
      </c>
      <c r="C2" s="28" t="s">
        <v>1</v>
      </c>
      <c r="D2" s="28" t="s">
        <v>2</v>
      </c>
      <c r="E2" s="28" t="s">
        <v>3</v>
      </c>
      <c r="F2" s="42">
        <v>2023</v>
      </c>
      <c r="G2" s="43"/>
      <c r="H2" s="42">
        <v>2024</v>
      </c>
      <c r="I2" s="43"/>
      <c r="J2" s="42">
        <v>2025</v>
      </c>
      <c r="K2" s="43"/>
      <c r="L2" s="42">
        <v>2026</v>
      </c>
      <c r="M2" s="43"/>
      <c r="N2" s="42">
        <v>2027</v>
      </c>
      <c r="O2" s="43"/>
    </row>
    <row r="3" spans="1:15" s="30" customFormat="1" ht="20.100000000000001" hidden="1" customHeight="1" x14ac:dyDescent="0.3">
      <c r="A3" s="31"/>
      <c r="B3" s="32" t="s">
        <v>556</v>
      </c>
      <c r="C3" s="32">
        <v>10</v>
      </c>
      <c r="D3" s="32">
        <v>0</v>
      </c>
      <c r="E3" s="31"/>
      <c r="F3" s="33"/>
      <c r="G3" s="34"/>
      <c r="H3" s="33"/>
      <c r="I3" s="34"/>
      <c r="J3" s="33"/>
      <c r="K3" s="34"/>
      <c r="L3" s="33"/>
      <c r="M3" s="34"/>
      <c r="N3" s="33"/>
      <c r="O3" s="34"/>
    </row>
    <row r="4" spans="1:15" s="30" customFormat="1" ht="25.8" x14ac:dyDescent="0.3">
      <c r="A4" s="35"/>
      <c r="B4" s="32"/>
      <c r="C4" s="36">
        <v>10</v>
      </c>
      <c r="D4" s="36">
        <v>5</v>
      </c>
      <c r="E4" s="36">
        <v>0</v>
      </c>
      <c r="F4" s="37" t="s">
        <v>4</v>
      </c>
      <c r="G4" s="38" t="s">
        <v>5</v>
      </c>
      <c r="H4" s="37" t="s">
        <v>4</v>
      </c>
      <c r="I4" s="38" t="s">
        <v>5</v>
      </c>
      <c r="J4" s="37" t="s">
        <v>4</v>
      </c>
      <c r="K4" s="38" t="s">
        <v>5</v>
      </c>
      <c r="L4" s="37" t="s">
        <v>4</v>
      </c>
      <c r="M4" s="38" t="s">
        <v>5</v>
      </c>
      <c r="N4" s="37" t="s">
        <v>4</v>
      </c>
      <c r="O4" s="38" t="s">
        <v>5</v>
      </c>
    </row>
    <row r="5" spans="1:15" ht="86.4" x14ac:dyDescent="0.3">
      <c r="A5" s="10" t="s">
        <v>0</v>
      </c>
      <c r="B5" s="10" t="s">
        <v>7</v>
      </c>
      <c r="C5" s="11" t="s">
        <v>205</v>
      </c>
      <c r="D5" s="11" t="s">
        <v>8</v>
      </c>
      <c r="E5" s="11" t="s">
        <v>9</v>
      </c>
      <c r="F5" s="24"/>
      <c r="G5" s="13"/>
      <c r="H5" s="24"/>
      <c r="I5" s="13"/>
      <c r="J5" s="24"/>
      <c r="K5" s="13"/>
      <c r="L5" s="24"/>
      <c r="M5" s="13"/>
      <c r="N5" s="24"/>
      <c r="O5" s="13"/>
    </row>
    <row r="6" spans="1:15" ht="57.6" x14ac:dyDescent="0.3">
      <c r="A6" s="12" t="s">
        <v>0</v>
      </c>
      <c r="B6" s="12" t="s">
        <v>10</v>
      </c>
      <c r="C6" s="11" t="s">
        <v>11</v>
      </c>
      <c r="D6" s="11" t="s">
        <v>12</v>
      </c>
      <c r="E6" s="11" t="s">
        <v>13</v>
      </c>
      <c r="F6" s="24"/>
      <c r="G6" s="13"/>
      <c r="H6" s="24"/>
      <c r="I6" s="13"/>
      <c r="J6" s="24"/>
      <c r="K6" s="13"/>
      <c r="L6" s="24"/>
      <c r="M6" s="13"/>
      <c r="N6" s="24"/>
      <c r="O6" s="13"/>
    </row>
    <row r="7" spans="1:15" ht="86.4" x14ac:dyDescent="0.3">
      <c r="A7" s="12" t="s">
        <v>0</v>
      </c>
      <c r="B7" s="12" t="s">
        <v>14</v>
      </c>
      <c r="C7" s="11" t="s">
        <v>15</v>
      </c>
      <c r="D7" s="11" t="s">
        <v>16</v>
      </c>
      <c r="E7" s="11" t="s">
        <v>17</v>
      </c>
      <c r="F7" s="24"/>
      <c r="G7" s="13"/>
      <c r="H7" s="24"/>
      <c r="I7" s="13"/>
      <c r="J7" s="24"/>
      <c r="K7" s="13"/>
      <c r="L7" s="24"/>
      <c r="M7" s="13"/>
      <c r="N7" s="24"/>
      <c r="O7" s="13"/>
    </row>
    <row r="8" spans="1:15" ht="57.6" x14ac:dyDescent="0.3">
      <c r="A8" s="12" t="s">
        <v>0</v>
      </c>
      <c r="B8" s="12" t="s">
        <v>18</v>
      </c>
      <c r="C8" s="11" t="s">
        <v>19</v>
      </c>
      <c r="D8" s="11" t="s">
        <v>20</v>
      </c>
      <c r="E8" s="11" t="s">
        <v>21</v>
      </c>
      <c r="F8" s="24"/>
      <c r="G8" s="13"/>
      <c r="H8" s="24"/>
      <c r="I8" s="13"/>
      <c r="J8" s="24"/>
      <c r="K8" s="13"/>
      <c r="L8" s="24"/>
      <c r="M8" s="13"/>
      <c r="N8" s="24"/>
      <c r="O8" s="13"/>
    </row>
    <row r="9" spans="1:15" ht="100.8" x14ac:dyDescent="0.3">
      <c r="A9" s="12" t="s">
        <v>0</v>
      </c>
      <c r="B9" s="12" t="s">
        <v>22</v>
      </c>
      <c r="C9" s="11" t="s">
        <v>23</v>
      </c>
      <c r="D9" s="11" t="s">
        <v>24</v>
      </c>
      <c r="E9" s="11" t="s">
        <v>25</v>
      </c>
      <c r="F9" s="24"/>
      <c r="G9" s="13"/>
      <c r="H9" s="24"/>
      <c r="I9" s="13"/>
      <c r="J9" s="24"/>
      <c r="K9" s="13"/>
      <c r="L9" s="24"/>
      <c r="M9" s="13"/>
      <c r="N9" s="24"/>
      <c r="O9" s="13"/>
    </row>
    <row r="10" spans="1:15" ht="57.6" x14ac:dyDescent="0.3">
      <c r="A10" s="12" t="s">
        <v>0</v>
      </c>
      <c r="B10" s="12" t="s">
        <v>26</v>
      </c>
      <c r="C10" s="11" t="s">
        <v>27</v>
      </c>
      <c r="D10" s="11" t="s">
        <v>28</v>
      </c>
      <c r="E10" s="11" t="s">
        <v>29</v>
      </c>
      <c r="F10" s="24"/>
      <c r="G10" s="13"/>
      <c r="H10" s="24"/>
      <c r="I10" s="13"/>
      <c r="J10" s="24"/>
      <c r="K10" s="13"/>
      <c r="L10" s="24"/>
      <c r="M10" s="13"/>
      <c r="N10" s="24"/>
      <c r="O10" s="13"/>
    </row>
    <row r="11" spans="1:15" ht="57.6" x14ac:dyDescent="0.3">
      <c r="A11" s="12" t="s">
        <v>0</v>
      </c>
      <c r="B11" s="12" t="s">
        <v>30</v>
      </c>
      <c r="C11" s="11" t="s">
        <v>31</v>
      </c>
      <c r="D11" s="11" t="s">
        <v>32</v>
      </c>
      <c r="E11" s="11" t="s">
        <v>33</v>
      </c>
      <c r="F11" s="24"/>
      <c r="G11" s="13"/>
      <c r="H11" s="24"/>
      <c r="I11" s="13"/>
      <c r="J11" s="24"/>
      <c r="K11" s="13"/>
      <c r="L11" s="24"/>
      <c r="M11" s="13"/>
      <c r="N11" s="24"/>
      <c r="O11" s="13"/>
    </row>
    <row r="12" spans="1:15" ht="115.2" x14ac:dyDescent="0.3">
      <c r="A12" s="12" t="s">
        <v>0</v>
      </c>
      <c r="B12" s="12" t="s">
        <v>34</v>
      </c>
      <c r="C12" s="11" t="s">
        <v>206</v>
      </c>
      <c r="D12" s="11" t="s">
        <v>35</v>
      </c>
      <c r="E12" s="11" t="s">
        <v>36</v>
      </c>
      <c r="F12" s="24"/>
      <c r="G12" s="13"/>
      <c r="H12" s="24"/>
      <c r="I12" s="13"/>
      <c r="J12" s="24"/>
      <c r="K12" s="13"/>
      <c r="L12" s="24"/>
      <c r="M12" s="13"/>
      <c r="N12" s="24"/>
      <c r="O12" s="13"/>
    </row>
    <row r="13" spans="1:15" ht="43.2" x14ac:dyDescent="0.3">
      <c r="A13" s="12" t="s">
        <v>0</v>
      </c>
      <c r="B13" s="12" t="s">
        <v>37</v>
      </c>
      <c r="C13" s="11" t="s">
        <v>38</v>
      </c>
      <c r="D13" s="11" t="s">
        <v>39</v>
      </c>
      <c r="E13" s="11" t="s">
        <v>40</v>
      </c>
      <c r="F13" s="24"/>
      <c r="G13" s="13"/>
      <c r="H13" s="24"/>
      <c r="I13" s="13"/>
      <c r="J13" s="24"/>
      <c r="K13" s="13"/>
      <c r="L13" s="24"/>
      <c r="M13" s="13"/>
      <c r="N13" s="24"/>
      <c r="O13" s="13"/>
    </row>
    <row r="14" spans="1:15" ht="43.2" x14ac:dyDescent="0.3">
      <c r="A14" s="12" t="s">
        <v>0</v>
      </c>
      <c r="B14" s="12" t="s">
        <v>41</v>
      </c>
      <c r="C14" s="11" t="s">
        <v>42</v>
      </c>
      <c r="D14" s="11" t="s">
        <v>43</v>
      </c>
      <c r="E14" s="11" t="s">
        <v>560</v>
      </c>
      <c r="F14" s="24"/>
      <c r="G14" s="13"/>
      <c r="H14" s="24"/>
      <c r="I14" s="13"/>
      <c r="J14" s="24"/>
      <c r="K14" s="13"/>
      <c r="L14" s="24"/>
      <c r="M14" s="13"/>
      <c r="N14" s="24"/>
      <c r="O14" s="13"/>
    </row>
    <row r="15" spans="1:15" ht="57.6" x14ac:dyDescent="0.3">
      <c r="A15" s="12" t="s">
        <v>0</v>
      </c>
      <c r="B15" s="12" t="s">
        <v>44</v>
      </c>
      <c r="C15" s="11" t="s">
        <v>45</v>
      </c>
      <c r="D15" s="11" t="s">
        <v>46</v>
      </c>
      <c r="E15" s="11" t="s">
        <v>47</v>
      </c>
      <c r="F15" s="24"/>
      <c r="G15" s="13"/>
      <c r="H15" s="24"/>
      <c r="I15" s="13"/>
      <c r="J15" s="24"/>
      <c r="K15" s="13"/>
      <c r="L15" s="24"/>
      <c r="M15" s="13"/>
      <c r="N15" s="24"/>
      <c r="O15" s="13"/>
    </row>
    <row r="16" spans="1:15" ht="100.8" x14ac:dyDescent="0.3">
      <c r="A16" s="12" t="s">
        <v>0</v>
      </c>
      <c r="B16" s="12" t="s">
        <v>207</v>
      </c>
      <c r="C16" s="11" t="s">
        <v>48</v>
      </c>
      <c r="D16" s="11" t="s">
        <v>49</v>
      </c>
      <c r="E16" s="11" t="s">
        <v>208</v>
      </c>
      <c r="F16" s="24"/>
      <c r="G16" s="13"/>
      <c r="H16" s="24"/>
      <c r="I16" s="13"/>
      <c r="J16" s="24"/>
      <c r="K16" s="13"/>
      <c r="L16" s="24"/>
      <c r="M16" s="13"/>
      <c r="N16" s="24"/>
      <c r="O16" s="13"/>
    </row>
    <row r="17" spans="1:15" ht="72" x14ac:dyDescent="0.3">
      <c r="A17" s="12" t="s">
        <v>0</v>
      </c>
      <c r="B17" s="12" t="s">
        <v>50</v>
      </c>
      <c r="C17" s="11" t="s">
        <v>51</v>
      </c>
      <c r="D17" s="11" t="s">
        <v>52</v>
      </c>
      <c r="E17" s="11" t="s">
        <v>53</v>
      </c>
      <c r="F17" s="24"/>
      <c r="G17" s="13"/>
      <c r="H17" s="24"/>
      <c r="I17" s="13"/>
      <c r="J17" s="24"/>
      <c r="K17" s="13"/>
      <c r="L17" s="24"/>
      <c r="M17" s="13"/>
      <c r="N17" s="24"/>
      <c r="O17" s="13"/>
    </row>
    <row r="18" spans="1:15" ht="172.8" x14ac:dyDescent="0.3">
      <c r="A18" s="12" t="s">
        <v>0</v>
      </c>
      <c r="B18" s="12" t="s">
        <v>54</v>
      </c>
      <c r="C18" s="11" t="s">
        <v>209</v>
      </c>
      <c r="D18" s="11" t="s">
        <v>210</v>
      </c>
      <c r="E18" s="11" t="s">
        <v>211</v>
      </c>
      <c r="F18" s="24"/>
      <c r="G18" s="13"/>
      <c r="H18" s="24"/>
      <c r="I18" s="13"/>
      <c r="J18" s="24"/>
      <c r="K18" s="13"/>
      <c r="L18" s="24"/>
      <c r="M18" s="13"/>
      <c r="N18" s="24"/>
      <c r="O18" s="13"/>
    </row>
    <row r="19" spans="1:15" ht="57.6" x14ac:dyDescent="0.3">
      <c r="A19" s="12" t="s">
        <v>0</v>
      </c>
      <c r="B19" s="12" t="s">
        <v>55</v>
      </c>
      <c r="C19" s="11" t="s">
        <v>56</v>
      </c>
      <c r="D19" s="11" t="s">
        <v>57</v>
      </c>
      <c r="E19" s="11" t="s">
        <v>58</v>
      </c>
      <c r="F19" s="24"/>
      <c r="G19" s="13"/>
      <c r="H19" s="24"/>
      <c r="I19" s="13"/>
      <c r="J19" s="24"/>
      <c r="K19" s="13"/>
      <c r="L19" s="24"/>
      <c r="M19" s="13"/>
      <c r="N19" s="24"/>
      <c r="O19" s="13"/>
    </row>
    <row r="20" spans="1:15" ht="86.4" x14ac:dyDescent="0.3">
      <c r="A20" s="12" t="s">
        <v>518</v>
      </c>
      <c r="B20" s="12" t="s">
        <v>60</v>
      </c>
      <c r="C20" s="11" t="s">
        <v>212</v>
      </c>
      <c r="D20" s="11" t="s">
        <v>213</v>
      </c>
      <c r="E20" s="11" t="s">
        <v>61</v>
      </c>
      <c r="F20" s="24"/>
      <c r="G20" s="13"/>
      <c r="H20" s="24"/>
      <c r="I20" s="13"/>
      <c r="J20" s="24"/>
      <c r="K20" s="13"/>
      <c r="L20" s="24"/>
      <c r="M20" s="13"/>
      <c r="N20" s="24"/>
      <c r="O20" s="13"/>
    </row>
    <row r="21" spans="1:15" ht="115.2" x14ac:dyDescent="0.3">
      <c r="A21" s="12" t="s">
        <v>518</v>
      </c>
      <c r="B21" s="12" t="s">
        <v>62</v>
      </c>
      <c r="C21" s="11" t="s">
        <v>214</v>
      </c>
      <c r="D21" s="11" t="s">
        <v>63</v>
      </c>
      <c r="E21" s="11" t="s">
        <v>64</v>
      </c>
      <c r="F21" s="24"/>
      <c r="G21" s="13"/>
      <c r="H21" s="24"/>
      <c r="I21" s="13"/>
      <c r="J21" s="24"/>
      <c r="K21" s="13"/>
      <c r="L21" s="24"/>
      <c r="M21" s="13"/>
      <c r="N21" s="24"/>
      <c r="O21" s="13"/>
    </row>
    <row r="22" spans="1:15" ht="86.4" x14ac:dyDescent="0.3">
      <c r="A22" s="12" t="s">
        <v>518</v>
      </c>
      <c r="B22" s="12" t="s">
        <v>65</v>
      </c>
      <c r="C22" s="11" t="s">
        <v>215</v>
      </c>
      <c r="D22" s="11" t="s">
        <v>216</v>
      </c>
      <c r="E22" s="11" t="s">
        <v>217</v>
      </c>
      <c r="F22" s="24"/>
      <c r="G22" s="13"/>
      <c r="H22" s="24"/>
      <c r="I22" s="13"/>
      <c r="J22" s="24"/>
      <c r="K22" s="13"/>
      <c r="L22" s="24"/>
      <c r="M22" s="13"/>
      <c r="N22" s="24"/>
      <c r="O22" s="13"/>
    </row>
    <row r="23" spans="1:15" ht="100.8" x14ac:dyDescent="0.3">
      <c r="A23" s="12" t="s">
        <v>519</v>
      </c>
      <c r="B23" s="12" t="s">
        <v>66</v>
      </c>
      <c r="C23" s="11" t="s">
        <v>218</v>
      </c>
      <c r="D23" s="11" t="s">
        <v>219</v>
      </c>
      <c r="E23" s="11" t="s">
        <v>67</v>
      </c>
      <c r="F23" s="24"/>
      <c r="G23" s="13"/>
      <c r="H23" s="24"/>
      <c r="I23" s="13"/>
      <c r="J23" s="24"/>
      <c r="K23" s="13"/>
      <c r="L23" s="24"/>
      <c r="M23" s="13"/>
      <c r="N23" s="24"/>
      <c r="O23" s="13"/>
    </row>
    <row r="24" spans="1:15" ht="72" x14ac:dyDescent="0.3">
      <c r="A24" s="12" t="s">
        <v>519</v>
      </c>
      <c r="B24" s="12" t="s">
        <v>68</v>
      </c>
      <c r="C24" s="11" t="s">
        <v>69</v>
      </c>
      <c r="D24" s="11" t="s">
        <v>70</v>
      </c>
      <c r="E24" s="11" t="s">
        <v>71</v>
      </c>
      <c r="F24" s="24"/>
      <c r="G24" s="13"/>
      <c r="H24" s="24"/>
      <c r="I24" s="13"/>
      <c r="J24" s="24"/>
      <c r="K24" s="13"/>
      <c r="L24" s="24"/>
      <c r="M24" s="13"/>
      <c r="N24" s="24"/>
      <c r="O24" s="13"/>
    </row>
    <row r="25" spans="1:15" ht="28.8" x14ac:dyDescent="0.3">
      <c r="A25" s="12" t="s">
        <v>519</v>
      </c>
      <c r="B25" s="12" t="s">
        <v>72</v>
      </c>
      <c r="C25" s="11" t="s">
        <v>220</v>
      </c>
      <c r="D25" s="11" t="s">
        <v>221</v>
      </c>
      <c r="E25" s="11" t="s">
        <v>222</v>
      </c>
      <c r="F25" s="24"/>
      <c r="G25" s="13"/>
      <c r="H25" s="24"/>
      <c r="I25" s="13"/>
      <c r="J25" s="24"/>
      <c r="K25" s="13"/>
      <c r="L25" s="24"/>
      <c r="M25" s="13"/>
      <c r="N25" s="24"/>
      <c r="O25" s="13"/>
    </row>
    <row r="26" spans="1:15" ht="43.2" x14ac:dyDescent="0.3">
      <c r="A26" s="12" t="s">
        <v>519</v>
      </c>
      <c r="B26" s="12" t="s">
        <v>73</v>
      </c>
      <c r="C26" s="11" t="s">
        <v>74</v>
      </c>
      <c r="D26" s="11" t="s">
        <v>75</v>
      </c>
      <c r="E26" s="11" t="s">
        <v>76</v>
      </c>
      <c r="F26" s="24"/>
      <c r="G26" s="13"/>
      <c r="H26" s="24"/>
      <c r="I26" s="13"/>
      <c r="J26" s="24"/>
      <c r="K26" s="13"/>
      <c r="L26" s="24"/>
      <c r="M26" s="13"/>
      <c r="N26" s="24"/>
      <c r="O26" s="13"/>
    </row>
    <row r="27" spans="1:15" ht="57.6" x14ac:dyDescent="0.3">
      <c r="A27" s="12" t="s">
        <v>519</v>
      </c>
      <c r="B27" s="12" t="s">
        <v>77</v>
      </c>
      <c r="C27" s="11" t="s">
        <v>78</v>
      </c>
      <c r="D27" s="11" t="s">
        <v>79</v>
      </c>
      <c r="E27" s="11" t="s">
        <v>223</v>
      </c>
      <c r="F27" s="24"/>
      <c r="G27" s="13"/>
      <c r="H27" s="24"/>
      <c r="I27" s="13"/>
      <c r="J27" s="24"/>
      <c r="K27" s="13"/>
      <c r="L27" s="24"/>
      <c r="M27" s="13"/>
      <c r="N27" s="24"/>
      <c r="O27" s="13"/>
    </row>
    <row r="28" spans="1:15" ht="43.2" x14ac:dyDescent="0.3">
      <c r="A28" s="12" t="s">
        <v>519</v>
      </c>
      <c r="B28" s="12" t="s">
        <v>80</v>
      </c>
      <c r="C28" s="11" t="s">
        <v>81</v>
      </c>
      <c r="D28" s="11" t="s">
        <v>82</v>
      </c>
      <c r="E28" s="11" t="s">
        <v>83</v>
      </c>
      <c r="F28" s="24"/>
      <c r="G28" s="13"/>
      <c r="H28" s="24"/>
      <c r="I28" s="13"/>
      <c r="J28" s="24"/>
      <c r="K28" s="13"/>
      <c r="L28" s="24"/>
      <c r="M28" s="13"/>
      <c r="N28" s="24"/>
      <c r="O28" s="13"/>
    </row>
    <row r="29" spans="1:15" ht="72" x14ac:dyDescent="0.3">
      <c r="A29" s="12" t="s">
        <v>519</v>
      </c>
      <c r="B29" s="12" t="s">
        <v>84</v>
      </c>
      <c r="C29" s="11" t="s">
        <v>85</v>
      </c>
      <c r="D29" s="11" t="s">
        <v>86</v>
      </c>
      <c r="E29" s="11" t="s">
        <v>87</v>
      </c>
      <c r="F29" s="24"/>
      <c r="G29" s="13"/>
      <c r="H29" s="24"/>
      <c r="I29" s="13"/>
      <c r="J29" s="24"/>
      <c r="K29" s="13"/>
      <c r="L29" s="24"/>
      <c r="M29" s="13"/>
      <c r="N29" s="24"/>
      <c r="O29" s="13"/>
    </row>
    <row r="30" spans="1:15" ht="86.4" x14ac:dyDescent="0.3">
      <c r="A30" s="12" t="s">
        <v>519</v>
      </c>
      <c r="B30" s="12" t="s">
        <v>62</v>
      </c>
      <c r="C30" s="11" t="s">
        <v>88</v>
      </c>
      <c r="D30" s="11" t="s">
        <v>89</v>
      </c>
      <c r="E30" s="11" t="s">
        <v>64</v>
      </c>
      <c r="F30" s="24"/>
      <c r="G30" s="13"/>
      <c r="H30" s="24"/>
      <c r="I30" s="13"/>
      <c r="J30" s="24"/>
      <c r="K30" s="13"/>
      <c r="L30" s="24"/>
      <c r="M30" s="13"/>
      <c r="N30" s="24"/>
      <c r="O30" s="13"/>
    </row>
    <row r="31" spans="1:15" ht="115.2" x14ac:dyDescent="0.3">
      <c r="A31" s="12" t="s">
        <v>519</v>
      </c>
      <c r="B31" s="12" t="s">
        <v>90</v>
      </c>
      <c r="C31" s="11" t="s">
        <v>224</v>
      </c>
      <c r="D31" s="11" t="s">
        <v>225</v>
      </c>
      <c r="E31" s="11" t="s">
        <v>226</v>
      </c>
      <c r="F31" s="24"/>
      <c r="G31" s="13"/>
      <c r="H31" s="24"/>
      <c r="I31" s="13"/>
      <c r="J31" s="24"/>
      <c r="K31" s="13"/>
      <c r="L31" s="24"/>
      <c r="M31" s="13"/>
      <c r="N31" s="24"/>
      <c r="O31" s="13"/>
    </row>
    <row r="32" spans="1:15" ht="100.8" x14ac:dyDescent="0.3">
      <c r="A32" s="12" t="s">
        <v>519</v>
      </c>
      <c r="B32" s="12" t="s">
        <v>227</v>
      </c>
      <c r="C32" s="11" t="s">
        <v>91</v>
      </c>
      <c r="D32" s="11" t="s">
        <v>92</v>
      </c>
      <c r="E32" s="11" t="s">
        <v>93</v>
      </c>
      <c r="F32" s="24"/>
      <c r="G32" s="13"/>
      <c r="H32" s="24"/>
      <c r="I32" s="13"/>
      <c r="J32" s="24"/>
      <c r="K32" s="13"/>
      <c r="L32" s="24"/>
      <c r="M32" s="13"/>
      <c r="N32" s="24"/>
      <c r="O32" s="13"/>
    </row>
    <row r="33" spans="1:15" ht="57.6" x14ac:dyDescent="0.3">
      <c r="A33" s="12" t="s">
        <v>94</v>
      </c>
      <c r="B33" s="12" t="s">
        <v>95</v>
      </c>
      <c r="C33" s="11" t="s">
        <v>228</v>
      </c>
      <c r="D33" s="11" t="s">
        <v>96</v>
      </c>
      <c r="E33" s="11" t="s">
        <v>97</v>
      </c>
      <c r="F33" s="24"/>
      <c r="G33" s="13"/>
      <c r="H33" s="24"/>
      <c r="I33" s="13"/>
      <c r="J33" s="24"/>
      <c r="K33" s="13"/>
      <c r="L33" s="24"/>
      <c r="M33" s="13"/>
      <c r="N33" s="24"/>
      <c r="O33" s="13"/>
    </row>
    <row r="34" spans="1:15" ht="43.2" x14ac:dyDescent="0.3">
      <c r="A34" s="12" t="s">
        <v>94</v>
      </c>
      <c r="B34" s="12" t="s">
        <v>98</v>
      </c>
      <c r="C34" s="11" t="s">
        <v>99</v>
      </c>
      <c r="D34" s="11" t="s">
        <v>100</v>
      </c>
      <c r="E34" s="11" t="s">
        <v>101</v>
      </c>
      <c r="F34" s="24"/>
      <c r="G34" s="13"/>
      <c r="H34" s="24"/>
      <c r="I34" s="13"/>
      <c r="J34" s="24"/>
      <c r="K34" s="13"/>
      <c r="L34" s="24"/>
      <c r="M34" s="13"/>
      <c r="N34" s="24"/>
      <c r="O34" s="13"/>
    </row>
    <row r="35" spans="1:15" ht="43.2" x14ac:dyDescent="0.3">
      <c r="A35" s="12" t="s">
        <v>94</v>
      </c>
      <c r="B35" s="12" t="s">
        <v>102</v>
      </c>
      <c r="C35" s="11" t="s">
        <v>103</v>
      </c>
      <c r="D35" s="11" t="s">
        <v>104</v>
      </c>
      <c r="E35" s="11" t="s">
        <v>229</v>
      </c>
      <c r="F35" s="24"/>
      <c r="G35" s="13"/>
      <c r="H35" s="24"/>
      <c r="I35" s="13"/>
      <c r="J35" s="24"/>
      <c r="K35" s="13"/>
      <c r="L35" s="24"/>
      <c r="M35" s="13"/>
      <c r="N35" s="24"/>
      <c r="O35" s="13"/>
    </row>
    <row r="36" spans="1:15" ht="43.2" x14ac:dyDescent="0.3">
      <c r="A36" s="12" t="s">
        <v>94</v>
      </c>
      <c r="B36" s="12" t="s">
        <v>230</v>
      </c>
      <c r="C36" s="11" t="s">
        <v>105</v>
      </c>
      <c r="D36" s="11" t="s">
        <v>106</v>
      </c>
      <c r="E36" s="11" t="s">
        <v>107</v>
      </c>
      <c r="F36" s="24"/>
      <c r="G36" s="13"/>
      <c r="H36" s="24"/>
      <c r="I36" s="13"/>
      <c r="J36" s="24"/>
      <c r="K36" s="13"/>
      <c r="L36" s="24"/>
      <c r="M36" s="13"/>
      <c r="N36" s="24"/>
      <c r="O36" s="13"/>
    </row>
    <row r="37" spans="1:15" ht="57.6" x14ac:dyDescent="0.3">
      <c r="A37" s="12" t="s">
        <v>94</v>
      </c>
      <c r="B37" s="12" t="s">
        <v>108</v>
      </c>
      <c r="C37" s="11" t="s">
        <v>231</v>
      </c>
      <c r="D37" s="11" t="s">
        <v>109</v>
      </c>
      <c r="E37" s="11" t="s">
        <v>232</v>
      </c>
      <c r="F37" s="24"/>
      <c r="G37" s="13"/>
      <c r="H37" s="24"/>
      <c r="I37" s="13"/>
      <c r="J37" s="24"/>
      <c r="K37" s="13"/>
      <c r="L37" s="24"/>
      <c r="M37" s="13"/>
      <c r="N37" s="24"/>
      <c r="O37" s="13"/>
    </row>
    <row r="38" spans="1:15" ht="57.6" x14ac:dyDescent="0.3">
      <c r="A38" s="12" t="s">
        <v>94</v>
      </c>
      <c r="B38" s="12" t="s">
        <v>110</v>
      </c>
      <c r="C38" s="11" t="s">
        <v>111</v>
      </c>
      <c r="D38" s="11" t="s">
        <v>112</v>
      </c>
      <c r="E38" s="11" t="s">
        <v>113</v>
      </c>
      <c r="F38" s="24"/>
      <c r="G38" s="13"/>
      <c r="H38" s="24"/>
      <c r="I38" s="13"/>
      <c r="J38" s="24"/>
      <c r="K38" s="13"/>
      <c r="L38" s="24"/>
      <c r="M38" s="13"/>
      <c r="N38" s="24"/>
      <c r="O38" s="13"/>
    </row>
    <row r="39" spans="1:15" ht="72" x14ac:dyDescent="0.3">
      <c r="A39" s="12" t="s">
        <v>94</v>
      </c>
      <c r="B39" s="12" t="s">
        <v>114</v>
      </c>
      <c r="C39" s="11" t="s">
        <v>115</v>
      </c>
      <c r="D39" s="11" t="s">
        <v>116</v>
      </c>
      <c r="E39" s="11" t="s">
        <v>117</v>
      </c>
      <c r="F39" s="24"/>
      <c r="G39" s="13"/>
      <c r="H39" s="24"/>
      <c r="I39" s="13"/>
      <c r="J39" s="24"/>
      <c r="K39" s="13"/>
      <c r="L39" s="24"/>
      <c r="M39" s="13"/>
      <c r="N39" s="24"/>
      <c r="O39" s="13"/>
    </row>
    <row r="40" spans="1:15" ht="72" x14ac:dyDescent="0.3">
      <c r="A40" s="12" t="s">
        <v>94</v>
      </c>
      <c r="B40" s="12" t="s">
        <v>118</v>
      </c>
      <c r="C40" s="11" t="s">
        <v>119</v>
      </c>
      <c r="D40" s="11" t="s">
        <v>120</v>
      </c>
      <c r="E40" s="11" t="s">
        <v>121</v>
      </c>
      <c r="F40" s="24"/>
      <c r="G40" s="13"/>
      <c r="H40" s="24"/>
      <c r="I40" s="13"/>
      <c r="J40" s="24"/>
      <c r="K40" s="13"/>
      <c r="L40" s="24"/>
      <c r="M40" s="13"/>
      <c r="N40" s="24"/>
      <c r="O40" s="13"/>
    </row>
    <row r="41" spans="1:15" ht="28.8" x14ac:dyDescent="0.3">
      <c r="A41" s="12" t="s">
        <v>149</v>
      </c>
      <c r="B41" s="12" t="s">
        <v>123</v>
      </c>
      <c r="C41" s="11" t="s">
        <v>233</v>
      </c>
      <c r="D41" s="11" t="s">
        <v>234</v>
      </c>
      <c r="E41" s="11" t="s">
        <v>235</v>
      </c>
      <c r="F41" s="24"/>
      <c r="G41" s="13"/>
      <c r="H41" s="24"/>
      <c r="I41" s="13"/>
      <c r="J41" s="24"/>
      <c r="K41" s="13"/>
      <c r="L41" s="24"/>
      <c r="M41" s="13"/>
      <c r="N41" s="24"/>
      <c r="O41" s="13"/>
    </row>
    <row r="42" spans="1:15" ht="28.8" x14ac:dyDescent="0.3">
      <c r="A42" s="12" t="s">
        <v>149</v>
      </c>
      <c r="B42" s="12" t="s">
        <v>124</v>
      </c>
      <c r="C42" s="11" t="s">
        <v>236</v>
      </c>
      <c r="D42" s="11" t="s">
        <v>237</v>
      </c>
      <c r="E42" s="11" t="s">
        <v>238</v>
      </c>
      <c r="F42" s="24"/>
      <c r="G42" s="13"/>
      <c r="H42" s="24"/>
      <c r="I42" s="13"/>
      <c r="J42" s="24"/>
      <c r="K42" s="13"/>
      <c r="L42" s="24"/>
      <c r="M42" s="13"/>
      <c r="N42" s="24"/>
      <c r="O42" s="13"/>
    </row>
    <row r="43" spans="1:15" ht="28.8" x14ac:dyDescent="0.3">
      <c r="A43" s="12" t="s">
        <v>149</v>
      </c>
      <c r="B43" s="12" t="s">
        <v>125</v>
      </c>
      <c r="C43" s="11" t="s">
        <v>239</v>
      </c>
      <c r="D43" s="11" t="s">
        <v>240</v>
      </c>
      <c r="E43" s="11" t="s">
        <v>241</v>
      </c>
      <c r="F43" s="24"/>
      <c r="G43" s="13"/>
      <c r="H43" s="24"/>
      <c r="I43" s="13"/>
      <c r="J43" s="24"/>
      <c r="K43" s="13"/>
      <c r="L43" s="24"/>
      <c r="M43" s="13"/>
      <c r="N43" s="24"/>
      <c r="O43" s="13"/>
    </row>
    <row r="44" spans="1:15" ht="57.6" x14ac:dyDescent="0.3">
      <c r="A44" s="12" t="s">
        <v>149</v>
      </c>
      <c r="B44" s="12" t="s">
        <v>126</v>
      </c>
      <c r="C44" s="11" t="s">
        <v>127</v>
      </c>
      <c r="D44" s="11" t="s">
        <v>242</v>
      </c>
      <c r="E44" s="11" t="s">
        <v>128</v>
      </c>
      <c r="F44" s="24"/>
      <c r="G44" s="13"/>
      <c r="H44" s="24"/>
      <c r="I44" s="13"/>
      <c r="J44" s="24"/>
      <c r="K44" s="13"/>
      <c r="L44" s="24"/>
      <c r="M44" s="13"/>
      <c r="N44" s="24"/>
      <c r="O44" s="13"/>
    </row>
    <row r="45" spans="1:15" ht="43.2" x14ac:dyDescent="0.3">
      <c r="A45" s="12" t="s">
        <v>149</v>
      </c>
      <c r="B45" s="12" t="s">
        <v>129</v>
      </c>
      <c r="C45" s="11" t="s">
        <v>243</v>
      </c>
      <c r="D45" s="11" t="s">
        <v>244</v>
      </c>
      <c r="E45" s="11" t="s">
        <v>561</v>
      </c>
      <c r="F45" s="24"/>
      <c r="G45" s="13"/>
      <c r="H45" s="24"/>
      <c r="I45" s="13"/>
      <c r="J45" s="24"/>
      <c r="K45" s="13"/>
      <c r="L45" s="24"/>
      <c r="M45" s="13"/>
      <c r="N45" s="24"/>
      <c r="O45" s="13"/>
    </row>
    <row r="46" spans="1:15" ht="86.4" x14ac:dyDescent="0.3">
      <c r="A46" s="12" t="s">
        <v>149</v>
      </c>
      <c r="B46" s="12" t="s">
        <v>90</v>
      </c>
      <c r="C46" s="11" t="s">
        <v>245</v>
      </c>
      <c r="D46" s="11" t="s">
        <v>130</v>
      </c>
      <c r="E46" s="11" t="s">
        <v>246</v>
      </c>
      <c r="F46" s="24"/>
      <c r="G46" s="13"/>
      <c r="H46" s="24"/>
      <c r="I46" s="13"/>
      <c r="J46" s="24"/>
      <c r="K46" s="13"/>
      <c r="L46" s="24"/>
      <c r="M46" s="13"/>
      <c r="N46" s="24"/>
      <c r="O46" s="13"/>
    </row>
    <row r="47" spans="1:15" ht="43.2" x14ac:dyDescent="0.3">
      <c r="A47" s="12" t="s">
        <v>149</v>
      </c>
      <c r="B47" s="12" t="s">
        <v>131</v>
      </c>
      <c r="C47" s="11" t="s">
        <v>247</v>
      </c>
      <c r="D47" s="11" t="s">
        <v>248</v>
      </c>
      <c r="E47" s="11" t="s">
        <v>249</v>
      </c>
      <c r="F47" s="24"/>
      <c r="G47" s="13"/>
      <c r="H47" s="24"/>
      <c r="I47" s="13"/>
      <c r="J47" s="24"/>
      <c r="K47" s="13"/>
      <c r="L47" s="24"/>
      <c r="M47" s="13"/>
      <c r="N47" s="24"/>
      <c r="O47" s="13"/>
    </row>
    <row r="48" spans="1:15" ht="57.6" x14ac:dyDescent="0.3">
      <c r="A48" s="12" t="s">
        <v>149</v>
      </c>
      <c r="B48" s="12" t="s">
        <v>132</v>
      </c>
      <c r="C48" s="11" t="s">
        <v>133</v>
      </c>
      <c r="D48" s="11" t="s">
        <v>134</v>
      </c>
      <c r="E48" s="11" t="s">
        <v>135</v>
      </c>
      <c r="F48" s="24"/>
      <c r="G48" s="13"/>
      <c r="H48" s="24"/>
      <c r="I48" s="13"/>
      <c r="J48" s="24"/>
      <c r="K48" s="13"/>
      <c r="L48" s="24"/>
      <c r="M48" s="13"/>
      <c r="N48" s="24"/>
      <c r="O48" s="13"/>
    </row>
    <row r="49" spans="1:15" ht="144" x14ac:dyDescent="0.3">
      <c r="A49" s="12" t="s">
        <v>149</v>
      </c>
      <c r="B49" s="12" t="s">
        <v>136</v>
      </c>
      <c r="C49" s="11" t="s">
        <v>137</v>
      </c>
      <c r="D49" s="11" t="s">
        <v>138</v>
      </c>
      <c r="E49" s="11" t="s">
        <v>139</v>
      </c>
      <c r="F49" s="24"/>
      <c r="G49" s="13"/>
      <c r="H49" s="24"/>
      <c r="I49" s="13"/>
      <c r="J49" s="24"/>
      <c r="K49" s="13"/>
      <c r="L49" s="24"/>
      <c r="M49" s="13"/>
      <c r="N49" s="24"/>
      <c r="O49" s="13"/>
    </row>
    <row r="50" spans="1:15" ht="72" x14ac:dyDescent="0.3">
      <c r="A50" s="12" t="s">
        <v>149</v>
      </c>
      <c r="B50" s="12" t="s">
        <v>140</v>
      </c>
      <c r="C50" s="11" t="s">
        <v>250</v>
      </c>
      <c r="D50" s="11" t="s">
        <v>141</v>
      </c>
      <c r="E50" s="11" t="s">
        <v>142</v>
      </c>
      <c r="F50" s="24"/>
      <c r="G50" s="13"/>
      <c r="H50" s="24"/>
      <c r="I50" s="13"/>
      <c r="J50" s="24"/>
      <c r="K50" s="13"/>
      <c r="L50" s="24"/>
      <c r="M50" s="13"/>
      <c r="N50" s="24"/>
      <c r="O50" s="13"/>
    </row>
    <row r="51" spans="1:15" ht="129.6" x14ac:dyDescent="0.3">
      <c r="A51" s="12" t="s">
        <v>149</v>
      </c>
      <c r="B51" s="12" t="s">
        <v>143</v>
      </c>
      <c r="C51" s="11" t="s">
        <v>144</v>
      </c>
      <c r="D51" s="11" t="s">
        <v>145</v>
      </c>
      <c r="E51" s="11" t="s">
        <v>251</v>
      </c>
      <c r="F51" s="24"/>
      <c r="G51" s="13"/>
      <c r="H51" s="24"/>
      <c r="I51" s="13"/>
      <c r="J51" s="24"/>
      <c r="K51" s="13"/>
      <c r="L51" s="24"/>
      <c r="M51" s="13"/>
      <c r="N51" s="24"/>
      <c r="O51" s="13"/>
    </row>
    <row r="52" spans="1:15" ht="100.8" x14ac:dyDescent="0.3">
      <c r="A52" s="12" t="s">
        <v>149</v>
      </c>
      <c r="B52" s="12" t="s">
        <v>146</v>
      </c>
      <c r="C52" s="11" t="s">
        <v>147</v>
      </c>
      <c r="D52" s="11" t="s">
        <v>252</v>
      </c>
      <c r="E52" s="11" t="s">
        <v>148</v>
      </c>
      <c r="F52" s="24"/>
      <c r="G52" s="13"/>
      <c r="H52" s="24"/>
      <c r="I52" s="13"/>
      <c r="J52" s="24"/>
      <c r="K52" s="13"/>
      <c r="L52" s="24"/>
      <c r="M52" s="13"/>
      <c r="N52" s="24"/>
      <c r="O52" s="13"/>
    </row>
    <row r="53" spans="1:15" ht="43.2" x14ac:dyDescent="0.3">
      <c r="A53" s="12" t="s">
        <v>152</v>
      </c>
      <c r="B53" s="12" t="s">
        <v>253</v>
      </c>
      <c r="C53" s="11" t="s">
        <v>254</v>
      </c>
      <c r="D53" s="11" t="s">
        <v>255</v>
      </c>
      <c r="E53" s="11" t="s">
        <v>256</v>
      </c>
      <c r="F53" s="24"/>
      <c r="G53" s="13"/>
      <c r="H53" s="24"/>
      <c r="I53" s="13"/>
      <c r="J53" s="24"/>
      <c r="K53" s="13"/>
      <c r="L53" s="24"/>
      <c r="M53" s="13"/>
      <c r="N53" s="24"/>
      <c r="O53" s="13"/>
    </row>
    <row r="54" spans="1:15" ht="43.2" x14ac:dyDescent="0.3">
      <c r="A54" s="12" t="s">
        <v>152</v>
      </c>
      <c r="B54" s="12" t="s">
        <v>257</v>
      </c>
      <c r="C54" s="11" t="s">
        <v>254</v>
      </c>
      <c r="D54" s="11" t="s">
        <v>255</v>
      </c>
      <c r="E54" s="11" t="s">
        <v>258</v>
      </c>
      <c r="F54" s="24"/>
      <c r="G54" s="13"/>
      <c r="H54" s="24"/>
      <c r="I54" s="13"/>
      <c r="J54" s="24"/>
      <c r="K54" s="13"/>
      <c r="L54" s="24"/>
      <c r="M54" s="13"/>
      <c r="N54" s="24"/>
      <c r="O54" s="13"/>
    </row>
    <row r="55" spans="1:15" ht="43.2" x14ac:dyDescent="0.3">
      <c r="A55" s="12" t="s">
        <v>152</v>
      </c>
      <c r="B55" s="12" t="s">
        <v>259</v>
      </c>
      <c r="C55" s="11" t="s">
        <v>260</v>
      </c>
      <c r="D55" s="11" t="s">
        <v>261</v>
      </c>
      <c r="E55" s="11" t="s">
        <v>262</v>
      </c>
      <c r="F55" s="24"/>
      <c r="G55" s="13"/>
      <c r="H55" s="24"/>
      <c r="I55" s="13"/>
      <c r="J55" s="24"/>
      <c r="K55" s="13"/>
      <c r="L55" s="24"/>
      <c r="M55" s="13"/>
      <c r="N55" s="24"/>
      <c r="O55" s="13"/>
    </row>
    <row r="56" spans="1:15" ht="43.2" x14ac:dyDescent="0.3">
      <c r="A56" s="12" t="s">
        <v>152</v>
      </c>
      <c r="B56" s="12" t="s">
        <v>263</v>
      </c>
      <c r="C56" s="11" t="s">
        <v>260</v>
      </c>
      <c r="D56" s="11" t="s">
        <v>261</v>
      </c>
      <c r="E56" s="11" t="s">
        <v>264</v>
      </c>
      <c r="F56" s="24"/>
      <c r="G56" s="13"/>
      <c r="H56" s="24"/>
      <c r="I56" s="13"/>
      <c r="J56" s="24"/>
      <c r="K56" s="13"/>
      <c r="L56" s="24"/>
      <c r="M56" s="13"/>
      <c r="N56" s="24"/>
      <c r="O56" s="13"/>
    </row>
    <row r="57" spans="1:15" ht="43.2" x14ac:dyDescent="0.3">
      <c r="A57" s="12" t="s">
        <v>152</v>
      </c>
      <c r="B57" s="12" t="s">
        <v>265</v>
      </c>
      <c r="C57" s="11" t="s">
        <v>260</v>
      </c>
      <c r="D57" s="11" t="s">
        <v>261</v>
      </c>
      <c r="E57" s="11" t="s">
        <v>266</v>
      </c>
      <c r="F57" s="24"/>
      <c r="G57" s="13"/>
      <c r="H57" s="24"/>
      <c r="I57" s="13"/>
      <c r="J57" s="24"/>
      <c r="K57" s="13"/>
      <c r="L57" s="24"/>
      <c r="M57" s="13"/>
      <c r="N57" s="24"/>
      <c r="O57" s="13"/>
    </row>
    <row r="58" spans="1:15" ht="43.2" x14ac:dyDescent="0.3">
      <c r="A58" s="12" t="s">
        <v>152</v>
      </c>
      <c r="B58" s="12" t="s">
        <v>267</v>
      </c>
      <c r="C58" s="11" t="s">
        <v>260</v>
      </c>
      <c r="D58" s="11" t="s">
        <v>261</v>
      </c>
      <c r="E58" s="11" t="s">
        <v>268</v>
      </c>
      <c r="F58" s="24"/>
      <c r="G58" s="13"/>
      <c r="H58" s="24"/>
      <c r="I58" s="13"/>
      <c r="J58" s="24"/>
      <c r="K58" s="13"/>
      <c r="L58" s="24"/>
      <c r="M58" s="13"/>
      <c r="N58" s="24"/>
      <c r="O58" s="13"/>
    </row>
    <row r="59" spans="1:15" ht="43.2" x14ac:dyDescent="0.3">
      <c r="A59" s="12" t="s">
        <v>152</v>
      </c>
      <c r="B59" s="12" t="s">
        <v>269</v>
      </c>
      <c r="C59" s="11" t="s">
        <v>260</v>
      </c>
      <c r="D59" s="11" t="s">
        <v>261</v>
      </c>
      <c r="E59" s="11" t="s">
        <v>268</v>
      </c>
      <c r="F59" s="24"/>
      <c r="G59" s="13"/>
      <c r="H59" s="24"/>
      <c r="I59" s="13"/>
      <c r="J59" s="24"/>
      <c r="K59" s="13"/>
      <c r="L59" s="24"/>
      <c r="M59" s="13"/>
      <c r="N59" s="24"/>
      <c r="O59" s="13"/>
    </row>
    <row r="60" spans="1:15" ht="57.6" x14ac:dyDescent="0.3">
      <c r="A60" s="12" t="s">
        <v>152</v>
      </c>
      <c r="B60" s="12" t="s">
        <v>270</v>
      </c>
      <c r="C60" s="11" t="s">
        <v>271</v>
      </c>
      <c r="D60" s="11" t="s">
        <v>272</v>
      </c>
      <c r="E60" s="11" t="s">
        <v>273</v>
      </c>
      <c r="F60" s="24"/>
      <c r="G60" s="13"/>
      <c r="H60" s="24"/>
      <c r="I60" s="13"/>
      <c r="J60" s="24"/>
      <c r="K60" s="13"/>
      <c r="L60" s="24"/>
      <c r="M60" s="13"/>
      <c r="N60" s="24"/>
      <c r="O60" s="13"/>
    </row>
    <row r="61" spans="1:15" ht="115.2" x14ac:dyDescent="0.3">
      <c r="A61" s="12" t="s">
        <v>520</v>
      </c>
      <c r="B61" s="12" t="s">
        <v>274</v>
      </c>
      <c r="C61" s="11" t="s">
        <v>275</v>
      </c>
      <c r="D61" s="11"/>
      <c r="E61" s="11" t="s">
        <v>276</v>
      </c>
      <c r="F61" s="24"/>
      <c r="G61" s="13"/>
      <c r="H61" s="24"/>
      <c r="I61" s="13"/>
      <c r="J61" s="24"/>
      <c r="K61" s="13"/>
      <c r="L61" s="24"/>
      <c r="M61" s="13"/>
      <c r="N61" s="24"/>
      <c r="O61" s="13"/>
    </row>
    <row r="62" spans="1:15" ht="158.4" x14ac:dyDescent="0.3">
      <c r="A62" s="12" t="s">
        <v>520</v>
      </c>
      <c r="B62" s="12" t="s">
        <v>277</v>
      </c>
      <c r="C62" s="11" t="s">
        <v>278</v>
      </c>
      <c r="D62" s="11" t="s">
        <v>279</v>
      </c>
      <c r="E62" s="11" t="s">
        <v>280</v>
      </c>
      <c r="F62" s="24"/>
      <c r="G62" s="13"/>
      <c r="H62" s="24"/>
      <c r="I62" s="13"/>
      <c r="J62" s="24"/>
      <c r="K62" s="13"/>
      <c r="L62" s="24"/>
      <c r="M62" s="13"/>
      <c r="N62" s="24"/>
      <c r="O62" s="13"/>
    </row>
    <row r="63" spans="1:15" ht="244.8" x14ac:dyDescent="0.3">
      <c r="A63" s="12" t="s">
        <v>520</v>
      </c>
      <c r="B63" s="12" t="s">
        <v>281</v>
      </c>
      <c r="C63" s="11" t="s">
        <v>282</v>
      </c>
      <c r="D63" s="11"/>
      <c r="E63" s="11" t="s">
        <v>283</v>
      </c>
      <c r="F63" s="24"/>
      <c r="G63" s="13"/>
      <c r="H63" s="24"/>
      <c r="I63" s="13"/>
      <c r="J63" s="24"/>
      <c r="K63" s="13"/>
      <c r="L63" s="24"/>
      <c r="M63" s="13"/>
      <c r="N63" s="24"/>
      <c r="O63" s="13"/>
    </row>
    <row r="64" spans="1:15" ht="86.4" x14ac:dyDescent="0.3">
      <c r="A64" s="12" t="s">
        <v>520</v>
      </c>
      <c r="B64" s="12" t="s">
        <v>284</v>
      </c>
      <c r="C64" s="11" t="s">
        <v>285</v>
      </c>
      <c r="D64" s="11" t="s">
        <v>286</v>
      </c>
      <c r="E64" s="11" t="s">
        <v>562</v>
      </c>
      <c r="F64" s="24"/>
      <c r="G64" s="13"/>
      <c r="H64" s="24"/>
      <c r="I64" s="13"/>
      <c r="J64" s="24"/>
      <c r="K64" s="13"/>
      <c r="L64" s="24"/>
      <c r="M64" s="13"/>
      <c r="N64" s="24"/>
      <c r="O64" s="13"/>
    </row>
    <row r="65" spans="1:15" ht="100.8" x14ac:dyDescent="0.3">
      <c r="A65" s="12" t="s">
        <v>520</v>
      </c>
      <c r="B65" s="12" t="s">
        <v>287</v>
      </c>
      <c r="C65" s="11" t="s">
        <v>288</v>
      </c>
      <c r="D65" s="11" t="s">
        <v>289</v>
      </c>
      <c r="E65" s="11" t="s">
        <v>290</v>
      </c>
      <c r="F65" s="24"/>
      <c r="G65" s="13"/>
      <c r="H65" s="24"/>
      <c r="I65" s="13"/>
      <c r="J65" s="24"/>
      <c r="K65" s="13"/>
      <c r="L65" s="24"/>
      <c r="M65" s="13"/>
      <c r="N65" s="24"/>
      <c r="O65" s="13"/>
    </row>
    <row r="66" spans="1:15" ht="216" x14ac:dyDescent="0.3">
      <c r="A66" s="12" t="s">
        <v>520</v>
      </c>
      <c r="B66" s="12" t="s">
        <v>291</v>
      </c>
      <c r="C66" s="11" t="s">
        <v>292</v>
      </c>
      <c r="D66" s="11" t="s">
        <v>293</v>
      </c>
      <c r="E66" s="11" t="s">
        <v>294</v>
      </c>
      <c r="F66" s="24"/>
      <c r="G66" s="13"/>
      <c r="H66" s="24"/>
      <c r="I66" s="13"/>
      <c r="J66" s="24"/>
      <c r="K66" s="13"/>
      <c r="L66" s="24"/>
      <c r="M66" s="13"/>
      <c r="N66" s="24"/>
      <c r="O66" s="13"/>
    </row>
    <row r="67" spans="1:15" ht="129.6" x14ac:dyDescent="0.3">
      <c r="A67" s="12" t="s">
        <v>520</v>
      </c>
      <c r="B67" s="12" t="s">
        <v>295</v>
      </c>
      <c r="C67" s="11" t="s">
        <v>296</v>
      </c>
      <c r="D67" s="11" t="s">
        <v>297</v>
      </c>
      <c r="E67" s="11" t="s">
        <v>298</v>
      </c>
      <c r="F67" s="24"/>
      <c r="G67" s="13"/>
      <c r="H67" s="24"/>
      <c r="I67" s="13"/>
      <c r="J67" s="24"/>
      <c r="K67" s="13"/>
      <c r="L67" s="24"/>
      <c r="M67" s="13"/>
      <c r="N67" s="24"/>
      <c r="O67" s="13"/>
    </row>
    <row r="68" spans="1:15" ht="86.4" x14ac:dyDescent="0.3">
      <c r="A68" s="12" t="s">
        <v>520</v>
      </c>
      <c r="B68" s="12" t="s">
        <v>299</v>
      </c>
      <c r="C68" s="11" t="s">
        <v>300</v>
      </c>
      <c r="D68" s="11" t="s">
        <v>301</v>
      </c>
      <c r="E68" s="11" t="s">
        <v>302</v>
      </c>
      <c r="F68" s="24"/>
      <c r="G68" s="13"/>
      <c r="H68" s="24"/>
      <c r="I68" s="13"/>
      <c r="J68" s="24"/>
      <c r="K68" s="13"/>
      <c r="L68" s="24"/>
      <c r="M68" s="13"/>
      <c r="N68" s="24"/>
      <c r="O68" s="13"/>
    </row>
    <row r="69" spans="1:15" ht="230.4" x14ac:dyDescent="0.3">
      <c r="A69" s="12" t="s">
        <v>520</v>
      </c>
      <c r="B69" s="12" t="s">
        <v>303</v>
      </c>
      <c r="C69" s="11" t="s">
        <v>304</v>
      </c>
      <c r="D69" s="11" t="s">
        <v>305</v>
      </c>
      <c r="E69" s="11" t="s">
        <v>306</v>
      </c>
      <c r="F69" s="24"/>
      <c r="G69" s="13"/>
      <c r="H69" s="24"/>
      <c r="I69" s="13"/>
      <c r="J69" s="24"/>
      <c r="K69" s="13"/>
      <c r="L69" s="24"/>
      <c r="M69" s="13"/>
      <c r="N69" s="24"/>
      <c r="O69" s="13"/>
    </row>
    <row r="70" spans="1:15" ht="72" x14ac:dyDescent="0.3">
      <c r="A70" s="12" t="s">
        <v>520</v>
      </c>
      <c r="B70" s="12" t="s">
        <v>307</v>
      </c>
      <c r="C70" s="11" t="s">
        <v>308</v>
      </c>
      <c r="D70" s="11" t="s">
        <v>309</v>
      </c>
      <c r="E70" s="11" t="s">
        <v>310</v>
      </c>
      <c r="F70" s="24"/>
      <c r="G70" s="13"/>
      <c r="H70" s="24"/>
      <c r="I70" s="13"/>
      <c r="J70" s="24"/>
      <c r="K70" s="13"/>
      <c r="L70" s="24"/>
      <c r="M70" s="13"/>
      <c r="N70" s="24"/>
      <c r="O70" s="13"/>
    </row>
    <row r="71" spans="1:15" ht="72" x14ac:dyDescent="0.3">
      <c r="A71" s="12" t="s">
        <v>520</v>
      </c>
      <c r="B71" s="12" t="s">
        <v>311</v>
      </c>
      <c r="C71" s="11" t="s">
        <v>312</v>
      </c>
      <c r="D71" s="11" t="s">
        <v>313</v>
      </c>
      <c r="E71" s="11" t="s">
        <v>314</v>
      </c>
      <c r="F71" s="24"/>
      <c r="G71" s="13"/>
      <c r="H71" s="24"/>
      <c r="I71" s="13"/>
      <c r="J71" s="24"/>
      <c r="K71" s="13"/>
      <c r="L71" s="24"/>
      <c r="M71" s="13"/>
      <c r="N71" s="24"/>
      <c r="O71" s="13"/>
    </row>
    <row r="72" spans="1:15" ht="115.2" x14ac:dyDescent="0.3">
      <c r="A72" s="12" t="s">
        <v>520</v>
      </c>
      <c r="B72" s="12" t="s">
        <v>315</v>
      </c>
      <c r="C72" s="11" t="s">
        <v>316</v>
      </c>
      <c r="D72" s="11" t="s">
        <v>317</v>
      </c>
      <c r="E72" s="11" t="s">
        <v>318</v>
      </c>
      <c r="F72" s="24"/>
      <c r="G72" s="13"/>
      <c r="H72" s="24"/>
      <c r="I72" s="13"/>
      <c r="J72" s="24"/>
      <c r="K72" s="13"/>
      <c r="L72" s="24"/>
      <c r="M72" s="13"/>
      <c r="N72" s="24"/>
      <c r="O72" s="13"/>
    </row>
    <row r="73" spans="1:15" ht="28.8" x14ac:dyDescent="0.3">
      <c r="A73" s="12" t="s">
        <v>520</v>
      </c>
      <c r="B73" s="12" t="s">
        <v>319</v>
      </c>
      <c r="C73" s="11" t="s">
        <v>320</v>
      </c>
      <c r="D73" s="11" t="s">
        <v>321</v>
      </c>
      <c r="E73" s="11" t="s">
        <v>322</v>
      </c>
      <c r="F73" s="24"/>
      <c r="G73" s="13"/>
      <c r="H73" s="24"/>
      <c r="I73" s="13"/>
      <c r="J73" s="24"/>
      <c r="K73" s="13"/>
      <c r="L73" s="24"/>
      <c r="M73" s="13"/>
      <c r="N73" s="24"/>
      <c r="O73" s="13"/>
    </row>
    <row r="74" spans="1:15" ht="216" x14ac:dyDescent="0.3">
      <c r="A74" s="12" t="s">
        <v>520</v>
      </c>
      <c r="B74" s="12" t="s">
        <v>323</v>
      </c>
      <c r="C74" s="11" t="s">
        <v>324</v>
      </c>
      <c r="D74" s="11" t="s">
        <v>325</v>
      </c>
      <c r="E74" s="11" t="s">
        <v>326</v>
      </c>
      <c r="F74" s="24"/>
      <c r="G74" s="13"/>
      <c r="H74" s="24"/>
      <c r="I74" s="13"/>
      <c r="J74" s="24"/>
      <c r="K74" s="13"/>
      <c r="L74" s="24"/>
      <c r="M74" s="13"/>
      <c r="N74" s="24"/>
      <c r="O74" s="13"/>
    </row>
    <row r="75" spans="1:15" ht="187.2" x14ac:dyDescent="0.3">
      <c r="A75" s="12" t="s">
        <v>520</v>
      </c>
      <c r="B75" s="12" t="s">
        <v>136</v>
      </c>
      <c r="C75" s="11" t="s">
        <v>327</v>
      </c>
      <c r="D75" s="11" t="s">
        <v>328</v>
      </c>
      <c r="E75" s="11" t="s">
        <v>329</v>
      </c>
      <c r="F75" s="24"/>
      <c r="G75" s="13"/>
      <c r="H75" s="24"/>
      <c r="I75" s="13"/>
      <c r="J75" s="24"/>
      <c r="K75" s="13"/>
      <c r="L75" s="24"/>
      <c r="M75" s="13"/>
      <c r="N75" s="24"/>
      <c r="O75" s="13"/>
    </row>
    <row r="76" spans="1:15" ht="115.2" x14ac:dyDescent="0.3">
      <c r="A76" s="12" t="s">
        <v>520</v>
      </c>
      <c r="B76" s="12" t="s">
        <v>330</v>
      </c>
      <c r="C76" s="11" t="s">
        <v>331</v>
      </c>
      <c r="D76" s="11" t="s">
        <v>332</v>
      </c>
      <c r="E76" s="11" t="s">
        <v>333</v>
      </c>
      <c r="F76" s="24"/>
      <c r="G76" s="13"/>
      <c r="H76" s="24"/>
      <c r="I76" s="13"/>
      <c r="J76" s="24"/>
      <c r="K76" s="13"/>
      <c r="L76" s="24"/>
      <c r="M76" s="13"/>
      <c r="N76" s="24"/>
      <c r="O76" s="13"/>
    </row>
    <row r="77" spans="1:15" ht="172.8" x14ac:dyDescent="0.3">
      <c r="A77" s="12" t="s">
        <v>520</v>
      </c>
      <c r="B77" s="12" t="s">
        <v>334</v>
      </c>
      <c r="C77" s="11" t="s">
        <v>335</v>
      </c>
      <c r="D77" s="11" t="s">
        <v>336</v>
      </c>
      <c r="E77" s="11" t="s">
        <v>337</v>
      </c>
      <c r="F77" s="24"/>
      <c r="G77" s="13"/>
      <c r="H77" s="24"/>
      <c r="I77" s="13"/>
      <c r="J77" s="24"/>
      <c r="K77" s="13"/>
      <c r="L77" s="24"/>
      <c r="M77" s="13"/>
      <c r="N77" s="24"/>
      <c r="O77" s="13"/>
    </row>
    <row r="78" spans="1:15" ht="172.8" x14ac:dyDescent="0.3">
      <c r="A78" s="12" t="s">
        <v>520</v>
      </c>
      <c r="B78" s="12" t="s">
        <v>338</v>
      </c>
      <c r="C78" s="11" t="s">
        <v>339</v>
      </c>
      <c r="D78" s="11"/>
      <c r="E78" s="11" t="s">
        <v>340</v>
      </c>
      <c r="F78" s="24"/>
      <c r="G78" s="13"/>
      <c r="H78" s="24"/>
      <c r="I78" s="13"/>
      <c r="J78" s="24"/>
      <c r="K78" s="13"/>
      <c r="L78" s="24"/>
      <c r="M78" s="13"/>
      <c r="N78" s="24"/>
      <c r="O78" s="13"/>
    </row>
    <row r="79" spans="1:15" ht="172.8" x14ac:dyDescent="0.3">
      <c r="A79" s="12" t="s">
        <v>520</v>
      </c>
      <c r="B79" s="12" t="s">
        <v>341</v>
      </c>
      <c r="C79" s="11" t="s">
        <v>342</v>
      </c>
      <c r="D79" s="11" t="s">
        <v>343</v>
      </c>
      <c r="E79" s="11" t="s">
        <v>344</v>
      </c>
      <c r="F79" s="24"/>
      <c r="G79" s="13"/>
      <c r="H79" s="24"/>
      <c r="I79" s="13"/>
      <c r="J79" s="24"/>
      <c r="K79" s="13"/>
      <c r="L79" s="24"/>
      <c r="M79" s="13"/>
      <c r="N79" s="24"/>
      <c r="O79" s="13"/>
    </row>
    <row r="80" spans="1:15" ht="57.6" x14ac:dyDescent="0.3">
      <c r="A80" s="12" t="s">
        <v>521</v>
      </c>
      <c r="B80" s="12" t="s">
        <v>345</v>
      </c>
      <c r="C80" s="26" t="s">
        <v>563</v>
      </c>
      <c r="D80" s="26" t="s">
        <v>563</v>
      </c>
      <c r="E80" s="26" t="s">
        <v>563</v>
      </c>
      <c r="F80" s="24"/>
      <c r="G80" s="13"/>
      <c r="H80" s="24"/>
      <c r="I80" s="13"/>
      <c r="J80" s="24"/>
      <c r="K80" s="13"/>
      <c r="L80" s="24"/>
      <c r="M80" s="13"/>
      <c r="N80" s="24"/>
      <c r="O80" s="13"/>
    </row>
    <row r="81" spans="1:15" ht="57.6" x14ac:dyDescent="0.3">
      <c r="A81" s="12" t="s">
        <v>521</v>
      </c>
      <c r="B81" s="12" t="s">
        <v>346</v>
      </c>
      <c r="C81" s="26" t="s">
        <v>563</v>
      </c>
      <c r="D81" s="26" t="s">
        <v>563</v>
      </c>
      <c r="E81" s="26" t="s">
        <v>563</v>
      </c>
      <c r="F81" s="24"/>
      <c r="G81" s="13"/>
      <c r="H81" s="24"/>
      <c r="I81" s="13"/>
      <c r="J81" s="24"/>
      <c r="K81" s="13"/>
      <c r="L81" s="24"/>
      <c r="M81" s="13"/>
      <c r="N81" s="24"/>
      <c r="O81" s="13"/>
    </row>
    <row r="82" spans="1:15" ht="57.6" x14ac:dyDescent="0.3">
      <c r="A82" s="12" t="s">
        <v>521</v>
      </c>
      <c r="B82" s="12" t="s">
        <v>347</v>
      </c>
      <c r="C82" s="26" t="s">
        <v>563</v>
      </c>
      <c r="D82" s="26" t="s">
        <v>563</v>
      </c>
      <c r="E82" s="26" t="s">
        <v>563</v>
      </c>
      <c r="F82" s="24"/>
      <c r="G82" s="13"/>
      <c r="H82" s="24"/>
      <c r="I82" s="13"/>
      <c r="J82" s="24"/>
      <c r="K82" s="13"/>
      <c r="L82" s="24"/>
      <c r="M82" s="13"/>
      <c r="N82" s="24"/>
      <c r="O82" s="13"/>
    </row>
    <row r="83" spans="1:15" ht="57.6" x14ac:dyDescent="0.3">
      <c r="A83" s="12" t="s">
        <v>521</v>
      </c>
      <c r="B83" s="12" t="s">
        <v>348</v>
      </c>
      <c r="C83" s="26" t="s">
        <v>563</v>
      </c>
      <c r="D83" s="26" t="s">
        <v>563</v>
      </c>
      <c r="E83" s="26" t="s">
        <v>563</v>
      </c>
      <c r="F83" s="24"/>
      <c r="G83" s="13"/>
      <c r="H83" s="24"/>
      <c r="I83" s="13"/>
      <c r="J83" s="24"/>
      <c r="K83" s="13"/>
      <c r="L83" s="24"/>
      <c r="M83" s="13"/>
      <c r="N83" s="24"/>
      <c r="O83" s="13"/>
    </row>
    <row r="84" spans="1:15" ht="57.6" x14ac:dyDescent="0.3">
      <c r="A84" s="12" t="s">
        <v>521</v>
      </c>
      <c r="B84" s="12" t="s">
        <v>349</v>
      </c>
      <c r="C84" s="26" t="s">
        <v>563</v>
      </c>
      <c r="D84" s="26" t="s">
        <v>563</v>
      </c>
      <c r="E84" s="26" t="s">
        <v>563</v>
      </c>
      <c r="F84" s="24"/>
      <c r="G84" s="13"/>
      <c r="H84" s="24"/>
      <c r="I84" s="13"/>
      <c r="J84" s="24"/>
      <c r="K84" s="13"/>
      <c r="L84" s="24"/>
      <c r="M84" s="13"/>
      <c r="N84" s="24"/>
      <c r="O84" s="13"/>
    </row>
    <row r="85" spans="1:15" ht="57.6" x14ac:dyDescent="0.3">
      <c r="A85" s="12" t="s">
        <v>521</v>
      </c>
      <c r="B85" s="12" t="s">
        <v>350</v>
      </c>
      <c r="C85" s="26" t="s">
        <v>563</v>
      </c>
      <c r="D85" s="26" t="s">
        <v>563</v>
      </c>
      <c r="E85" s="26" t="s">
        <v>563</v>
      </c>
      <c r="F85" s="24"/>
      <c r="G85" s="13"/>
      <c r="H85" s="24"/>
      <c r="I85" s="13"/>
      <c r="J85" s="24"/>
      <c r="K85" s="13"/>
      <c r="L85" s="24"/>
      <c r="M85" s="13"/>
      <c r="N85" s="24"/>
      <c r="O85" s="13"/>
    </row>
    <row r="86" spans="1:15" ht="57.6" x14ac:dyDescent="0.3">
      <c r="A86" s="12" t="s">
        <v>521</v>
      </c>
      <c r="B86" s="12" t="s">
        <v>351</v>
      </c>
      <c r="C86" s="26" t="s">
        <v>563</v>
      </c>
      <c r="D86" s="26" t="s">
        <v>563</v>
      </c>
      <c r="E86" s="26" t="s">
        <v>563</v>
      </c>
      <c r="F86" s="24"/>
      <c r="G86" s="13"/>
      <c r="H86" s="24"/>
      <c r="I86" s="13"/>
      <c r="J86" s="24"/>
      <c r="K86" s="13"/>
      <c r="L86" s="24"/>
      <c r="M86" s="13"/>
      <c r="N86" s="24"/>
      <c r="O86" s="13"/>
    </row>
    <row r="87" spans="1:15" ht="57.6" x14ac:dyDescent="0.3">
      <c r="A87" s="12" t="s">
        <v>521</v>
      </c>
      <c r="B87" s="12" t="s">
        <v>352</v>
      </c>
      <c r="C87" s="26" t="s">
        <v>563</v>
      </c>
      <c r="D87" s="26" t="s">
        <v>563</v>
      </c>
      <c r="E87" s="26" t="s">
        <v>563</v>
      </c>
      <c r="F87" s="24"/>
      <c r="G87" s="13"/>
      <c r="H87" s="24"/>
      <c r="I87" s="13"/>
      <c r="J87" s="24"/>
      <c r="K87" s="13"/>
      <c r="L87" s="24"/>
      <c r="M87" s="13"/>
      <c r="N87" s="24"/>
      <c r="O87" s="13"/>
    </row>
    <row r="88" spans="1:15" ht="57.6" x14ac:dyDescent="0.3">
      <c r="A88" s="12" t="s">
        <v>521</v>
      </c>
      <c r="B88" s="12" t="s">
        <v>353</v>
      </c>
      <c r="C88" s="26" t="s">
        <v>563</v>
      </c>
      <c r="D88" s="26" t="s">
        <v>563</v>
      </c>
      <c r="E88" s="26" t="s">
        <v>563</v>
      </c>
      <c r="F88" s="24"/>
      <c r="G88" s="13"/>
      <c r="H88" s="24"/>
      <c r="I88" s="13"/>
      <c r="J88" s="24"/>
      <c r="K88" s="13"/>
      <c r="L88" s="24"/>
      <c r="M88" s="13"/>
      <c r="N88" s="24"/>
      <c r="O88" s="13"/>
    </row>
    <row r="89" spans="1:15" ht="57.6" x14ac:dyDescent="0.3">
      <c r="A89" s="12" t="s">
        <v>521</v>
      </c>
      <c r="B89" s="12" t="s">
        <v>354</v>
      </c>
      <c r="C89" s="26" t="s">
        <v>563</v>
      </c>
      <c r="D89" s="26" t="s">
        <v>563</v>
      </c>
      <c r="E89" s="26" t="s">
        <v>563</v>
      </c>
      <c r="F89" s="24"/>
      <c r="G89" s="13"/>
      <c r="H89" s="24"/>
      <c r="I89" s="13"/>
      <c r="J89" s="24"/>
      <c r="K89" s="13"/>
      <c r="L89" s="24"/>
      <c r="M89" s="13"/>
      <c r="N89" s="24"/>
      <c r="O89" s="13"/>
    </row>
    <row r="90" spans="1:15" ht="57.6" x14ac:dyDescent="0.3">
      <c r="A90" s="12" t="s">
        <v>521</v>
      </c>
      <c r="B90" s="12" t="s">
        <v>355</v>
      </c>
      <c r="C90" s="26" t="s">
        <v>563</v>
      </c>
      <c r="D90" s="26" t="s">
        <v>563</v>
      </c>
      <c r="E90" s="26" t="s">
        <v>563</v>
      </c>
      <c r="F90" s="24"/>
      <c r="G90" s="13"/>
      <c r="H90" s="24"/>
      <c r="I90" s="13"/>
      <c r="J90" s="24"/>
      <c r="K90" s="13"/>
      <c r="L90" s="24"/>
      <c r="M90" s="13"/>
      <c r="N90" s="24"/>
      <c r="O90" s="13"/>
    </row>
    <row r="91" spans="1:15" ht="57.6" x14ac:dyDescent="0.3">
      <c r="A91" s="12" t="s">
        <v>521</v>
      </c>
      <c r="B91" s="12" t="s">
        <v>356</v>
      </c>
      <c r="C91" s="26" t="s">
        <v>563</v>
      </c>
      <c r="D91" s="26" t="s">
        <v>563</v>
      </c>
      <c r="E91" s="26" t="s">
        <v>563</v>
      </c>
      <c r="F91" s="24"/>
      <c r="G91" s="13"/>
      <c r="H91" s="24"/>
      <c r="I91" s="13"/>
      <c r="J91" s="24"/>
      <c r="K91" s="13"/>
      <c r="L91" s="24"/>
      <c r="M91" s="13"/>
      <c r="N91" s="24"/>
      <c r="O91" s="13"/>
    </row>
    <row r="92" spans="1:15" ht="57.6" x14ac:dyDescent="0.3">
      <c r="A92" s="12" t="s">
        <v>521</v>
      </c>
      <c r="B92" s="12" t="s">
        <v>357</v>
      </c>
      <c r="C92" s="26" t="s">
        <v>563</v>
      </c>
      <c r="D92" s="26" t="s">
        <v>563</v>
      </c>
      <c r="E92" s="26" t="s">
        <v>563</v>
      </c>
      <c r="F92" s="24"/>
      <c r="G92" s="13"/>
      <c r="H92" s="24"/>
      <c r="I92" s="13"/>
      <c r="J92" s="24"/>
      <c r="K92" s="13"/>
      <c r="L92" s="24"/>
      <c r="M92" s="13"/>
      <c r="N92" s="24"/>
      <c r="O92" s="13"/>
    </row>
    <row r="93" spans="1:15" ht="57.6" x14ac:dyDescent="0.3">
      <c r="A93" s="12" t="s">
        <v>521</v>
      </c>
      <c r="B93" s="12" t="s">
        <v>358</v>
      </c>
      <c r="C93" s="26" t="s">
        <v>563</v>
      </c>
      <c r="D93" s="26" t="s">
        <v>563</v>
      </c>
      <c r="E93" s="26" t="s">
        <v>563</v>
      </c>
      <c r="F93" s="24"/>
      <c r="G93" s="13"/>
      <c r="H93" s="24"/>
      <c r="I93" s="13"/>
      <c r="J93" s="24"/>
      <c r="K93" s="13"/>
      <c r="L93" s="24"/>
      <c r="M93" s="13"/>
      <c r="N93" s="24"/>
      <c r="O93" s="13"/>
    </row>
    <row r="94" spans="1:15" ht="57.6" x14ac:dyDescent="0.3">
      <c r="A94" s="12" t="s">
        <v>521</v>
      </c>
      <c r="B94" s="12" t="s">
        <v>359</v>
      </c>
      <c r="C94" s="26" t="s">
        <v>563</v>
      </c>
      <c r="D94" s="26" t="s">
        <v>563</v>
      </c>
      <c r="E94" s="26" t="s">
        <v>563</v>
      </c>
      <c r="F94" s="24"/>
      <c r="G94" s="13"/>
      <c r="H94" s="24"/>
      <c r="I94" s="13"/>
      <c r="J94" s="24"/>
      <c r="K94" s="13"/>
      <c r="L94" s="24"/>
      <c r="M94" s="13"/>
      <c r="N94" s="24"/>
      <c r="O94" s="13"/>
    </row>
    <row r="95" spans="1:15" ht="57.6" x14ac:dyDescent="0.3">
      <c r="A95" s="12" t="s">
        <v>521</v>
      </c>
      <c r="B95" s="12" t="s">
        <v>360</v>
      </c>
      <c r="C95" s="26" t="s">
        <v>563</v>
      </c>
      <c r="D95" s="26" t="s">
        <v>563</v>
      </c>
      <c r="E95" s="26" t="s">
        <v>563</v>
      </c>
      <c r="F95" s="24"/>
      <c r="G95" s="13"/>
      <c r="H95" s="24"/>
      <c r="I95" s="13"/>
      <c r="J95" s="24"/>
      <c r="K95" s="13"/>
      <c r="L95" s="24"/>
      <c r="M95" s="13"/>
      <c r="N95" s="24"/>
      <c r="O95" s="13"/>
    </row>
    <row r="96" spans="1:15" ht="57.6" x14ac:dyDescent="0.3">
      <c r="A96" s="12" t="s">
        <v>521</v>
      </c>
      <c r="B96" s="12" t="s">
        <v>361</v>
      </c>
      <c r="C96" s="26" t="s">
        <v>563</v>
      </c>
      <c r="D96" s="26" t="s">
        <v>563</v>
      </c>
      <c r="E96" s="26" t="s">
        <v>563</v>
      </c>
      <c r="F96" s="24"/>
      <c r="G96" s="13"/>
      <c r="H96" s="24"/>
      <c r="I96" s="13"/>
      <c r="J96" s="24"/>
      <c r="K96" s="13"/>
      <c r="L96" s="24"/>
      <c r="M96" s="13"/>
      <c r="N96" s="24"/>
      <c r="O96" s="13"/>
    </row>
    <row r="97" spans="1:15" ht="28.8" x14ac:dyDescent="0.3">
      <c r="A97" s="12" t="s">
        <v>522</v>
      </c>
      <c r="B97" s="14" t="s">
        <v>564</v>
      </c>
      <c r="C97" s="26" t="s">
        <v>563</v>
      </c>
      <c r="D97" s="26" t="s">
        <v>563</v>
      </c>
      <c r="E97" s="26" t="s">
        <v>563</v>
      </c>
      <c r="F97" s="24"/>
      <c r="G97" s="13"/>
      <c r="H97" s="24"/>
      <c r="I97" s="13"/>
      <c r="J97" s="24"/>
      <c r="K97" s="13"/>
      <c r="L97" s="24"/>
      <c r="M97" s="13"/>
      <c r="N97" s="24"/>
      <c r="O97" s="13"/>
    </row>
    <row r="98" spans="1:15" ht="28.8" x14ac:dyDescent="0.3">
      <c r="A98" s="12" t="s">
        <v>522</v>
      </c>
      <c r="B98" s="14" t="s">
        <v>564</v>
      </c>
      <c r="C98" s="26" t="s">
        <v>563</v>
      </c>
      <c r="D98" s="26" t="s">
        <v>563</v>
      </c>
      <c r="E98" s="26" t="s">
        <v>563</v>
      </c>
      <c r="F98" s="24"/>
      <c r="G98" s="13"/>
      <c r="H98" s="24"/>
      <c r="I98" s="13"/>
      <c r="J98" s="24"/>
      <c r="K98" s="13"/>
      <c r="L98" s="24"/>
      <c r="M98" s="13"/>
      <c r="N98" s="24"/>
      <c r="O98" s="13"/>
    </row>
    <row r="99" spans="1:15" ht="28.8" x14ac:dyDescent="0.3">
      <c r="A99" s="12" t="s">
        <v>522</v>
      </c>
      <c r="B99" s="14" t="s">
        <v>564</v>
      </c>
      <c r="C99" s="26" t="s">
        <v>563</v>
      </c>
      <c r="D99" s="26" t="s">
        <v>563</v>
      </c>
      <c r="E99" s="26" t="s">
        <v>563</v>
      </c>
      <c r="F99" s="24"/>
      <c r="G99" s="13"/>
      <c r="H99" s="24"/>
      <c r="I99" s="13"/>
      <c r="J99" s="24"/>
      <c r="K99" s="13"/>
      <c r="L99" s="24"/>
      <c r="M99" s="13"/>
      <c r="N99" s="24"/>
      <c r="O99" s="13"/>
    </row>
    <row r="100" spans="1:15" ht="28.8" x14ac:dyDescent="0.3">
      <c r="A100" s="12" t="s">
        <v>522</v>
      </c>
      <c r="B100" s="14" t="s">
        <v>564</v>
      </c>
      <c r="C100" s="26" t="s">
        <v>563</v>
      </c>
      <c r="D100" s="26" t="s">
        <v>563</v>
      </c>
      <c r="E100" s="26" t="s">
        <v>563</v>
      </c>
      <c r="F100" s="24"/>
      <c r="G100" s="13"/>
      <c r="H100" s="24"/>
      <c r="I100" s="13"/>
      <c r="J100" s="24"/>
      <c r="K100" s="13"/>
      <c r="L100" s="24"/>
      <c r="M100" s="13"/>
      <c r="N100" s="24"/>
      <c r="O100" s="13"/>
    </row>
    <row r="101" spans="1:15" ht="28.8" x14ac:dyDescent="0.3">
      <c r="A101" s="12" t="s">
        <v>522</v>
      </c>
      <c r="B101" s="14" t="s">
        <v>564</v>
      </c>
      <c r="C101" s="26" t="s">
        <v>563</v>
      </c>
      <c r="D101" s="26" t="s">
        <v>563</v>
      </c>
      <c r="E101" s="26" t="s">
        <v>563</v>
      </c>
      <c r="F101" s="24"/>
      <c r="G101" s="13"/>
      <c r="H101" s="24"/>
      <c r="I101" s="13"/>
      <c r="J101" s="24"/>
      <c r="K101" s="13"/>
      <c r="L101" s="24"/>
      <c r="M101" s="13"/>
      <c r="N101" s="24"/>
      <c r="O101" s="13"/>
    </row>
    <row r="102" spans="1:15" ht="43.2" x14ac:dyDescent="0.3">
      <c r="A102" s="12" t="s">
        <v>151</v>
      </c>
      <c r="B102" s="12" t="s">
        <v>362</v>
      </c>
      <c r="C102" s="11" t="s">
        <v>392</v>
      </c>
      <c r="D102" s="11" t="s">
        <v>393</v>
      </c>
      <c r="E102" s="11" t="s">
        <v>394</v>
      </c>
      <c r="F102" s="24"/>
      <c r="G102" s="13" t="s">
        <v>559</v>
      </c>
      <c r="H102" s="24"/>
      <c r="I102" s="13"/>
      <c r="J102" s="24"/>
      <c r="K102" s="13"/>
      <c r="L102" s="24"/>
      <c r="M102" s="13"/>
      <c r="N102" s="24"/>
      <c r="O102" s="13"/>
    </row>
    <row r="103" spans="1:15" ht="28.8" x14ac:dyDescent="0.3">
      <c r="A103" s="12" t="s">
        <v>151</v>
      </c>
      <c r="B103" s="12" t="s">
        <v>363</v>
      </c>
      <c r="C103" s="11" t="s">
        <v>392</v>
      </c>
      <c r="D103" s="11" t="s">
        <v>393</v>
      </c>
      <c r="E103" s="11" t="s">
        <v>394</v>
      </c>
      <c r="F103" s="24"/>
      <c r="G103" s="13"/>
      <c r="H103" s="24"/>
      <c r="I103" s="13"/>
      <c r="J103" s="24"/>
      <c r="K103" s="13"/>
      <c r="L103" s="24"/>
      <c r="M103" s="13"/>
      <c r="N103" s="24"/>
      <c r="O103" s="13"/>
    </row>
    <row r="104" spans="1:15" ht="28.8" x14ac:dyDescent="0.3">
      <c r="A104" s="12" t="s">
        <v>151</v>
      </c>
      <c r="B104" s="12" t="s">
        <v>364</v>
      </c>
      <c r="C104" s="11" t="s">
        <v>392</v>
      </c>
      <c r="D104" s="11" t="s">
        <v>393</v>
      </c>
      <c r="E104" s="11" t="s">
        <v>394</v>
      </c>
      <c r="F104" s="24"/>
      <c r="G104" s="13"/>
      <c r="H104" s="24"/>
      <c r="I104" s="13"/>
      <c r="J104" s="24"/>
      <c r="K104" s="13"/>
      <c r="L104" s="24"/>
      <c r="M104" s="13"/>
      <c r="N104" s="24"/>
      <c r="O104" s="13"/>
    </row>
    <row r="105" spans="1:15" ht="28.8" x14ac:dyDescent="0.3">
      <c r="A105" s="12" t="s">
        <v>151</v>
      </c>
      <c r="B105" s="12" t="s">
        <v>537</v>
      </c>
      <c r="C105" s="11" t="s">
        <v>392</v>
      </c>
      <c r="D105" s="11" t="s">
        <v>393</v>
      </c>
      <c r="E105" s="11" t="s">
        <v>394</v>
      </c>
      <c r="F105" s="24"/>
      <c r="G105" s="13"/>
      <c r="H105" s="24"/>
      <c r="I105" s="13"/>
      <c r="J105" s="24"/>
      <c r="K105" s="13"/>
      <c r="L105" s="24"/>
      <c r="M105" s="13"/>
      <c r="N105" s="24"/>
      <c r="O105" s="13"/>
    </row>
    <row r="106" spans="1:15" ht="28.8" x14ac:dyDescent="0.3">
      <c r="A106" s="12" t="s">
        <v>151</v>
      </c>
      <c r="B106" s="12" t="s">
        <v>557</v>
      </c>
      <c r="C106" s="11" t="s">
        <v>392</v>
      </c>
      <c r="D106" s="11" t="s">
        <v>393</v>
      </c>
      <c r="E106" s="11" t="s">
        <v>394</v>
      </c>
      <c r="F106" s="24"/>
      <c r="G106" s="13"/>
      <c r="H106" s="24"/>
      <c r="I106" s="13"/>
      <c r="J106" s="24"/>
      <c r="K106" s="13"/>
      <c r="L106" s="24"/>
      <c r="M106" s="13"/>
      <c r="N106" s="24"/>
      <c r="O106" s="13"/>
    </row>
    <row r="107" spans="1:15" ht="28.8" x14ac:dyDescent="0.3">
      <c r="A107" s="12" t="s">
        <v>151</v>
      </c>
      <c r="B107" s="12" t="s">
        <v>365</v>
      </c>
      <c r="C107" s="11" t="s">
        <v>392</v>
      </c>
      <c r="D107" s="11" t="s">
        <v>393</v>
      </c>
      <c r="E107" s="11" t="s">
        <v>394</v>
      </c>
      <c r="F107" s="24"/>
      <c r="G107" s="13"/>
      <c r="H107" s="24"/>
      <c r="I107" s="13"/>
      <c r="J107" s="24"/>
      <c r="K107" s="13"/>
      <c r="L107" s="24"/>
      <c r="M107" s="13"/>
      <c r="N107" s="24"/>
      <c r="O107" s="13"/>
    </row>
    <row r="108" spans="1:15" ht="28.8" x14ac:dyDescent="0.3">
      <c r="A108" s="12" t="s">
        <v>151</v>
      </c>
      <c r="B108" s="12" t="s">
        <v>366</v>
      </c>
      <c r="C108" s="11" t="s">
        <v>392</v>
      </c>
      <c r="D108" s="11" t="s">
        <v>393</v>
      </c>
      <c r="E108" s="11" t="s">
        <v>394</v>
      </c>
      <c r="F108" s="24"/>
      <c r="G108" s="13"/>
      <c r="H108" s="24"/>
      <c r="I108" s="13"/>
      <c r="J108" s="24"/>
      <c r="K108" s="13"/>
      <c r="L108" s="24"/>
      <c r="M108" s="13"/>
      <c r="N108" s="24"/>
      <c r="O108" s="13"/>
    </row>
    <row r="109" spans="1:15" ht="28.8" x14ac:dyDescent="0.3">
      <c r="A109" s="12" t="s">
        <v>151</v>
      </c>
      <c r="B109" s="12" t="s">
        <v>367</v>
      </c>
      <c r="C109" s="11" t="s">
        <v>392</v>
      </c>
      <c r="D109" s="11" t="s">
        <v>393</v>
      </c>
      <c r="E109" s="11" t="s">
        <v>394</v>
      </c>
      <c r="F109" s="24"/>
      <c r="G109" s="13"/>
      <c r="H109" s="24"/>
      <c r="I109" s="13"/>
      <c r="J109" s="24"/>
      <c r="K109" s="13"/>
      <c r="L109" s="24"/>
      <c r="M109" s="13"/>
      <c r="N109" s="24"/>
      <c r="O109" s="13"/>
    </row>
    <row r="110" spans="1:15" ht="28.8" x14ac:dyDescent="0.3">
      <c r="A110" s="12" t="s">
        <v>151</v>
      </c>
      <c r="B110" s="12" t="s">
        <v>368</v>
      </c>
      <c r="C110" s="11" t="s">
        <v>392</v>
      </c>
      <c r="D110" s="11" t="s">
        <v>393</v>
      </c>
      <c r="E110" s="11" t="s">
        <v>394</v>
      </c>
      <c r="F110" s="24"/>
      <c r="G110" s="13"/>
      <c r="H110" s="24"/>
      <c r="I110" s="13"/>
      <c r="J110" s="24"/>
      <c r="K110" s="13"/>
      <c r="L110" s="24"/>
      <c r="M110" s="13"/>
      <c r="N110" s="24"/>
      <c r="O110" s="13"/>
    </row>
    <row r="111" spans="1:15" ht="28.8" x14ac:dyDescent="0.3">
      <c r="A111" s="12" t="s">
        <v>151</v>
      </c>
      <c r="B111" s="12" t="s">
        <v>369</v>
      </c>
      <c r="C111" s="11" t="s">
        <v>392</v>
      </c>
      <c r="D111" s="11" t="s">
        <v>393</v>
      </c>
      <c r="E111" s="11" t="s">
        <v>394</v>
      </c>
      <c r="F111" s="24"/>
      <c r="G111" s="13"/>
      <c r="H111" s="24"/>
      <c r="I111" s="13"/>
      <c r="J111" s="24"/>
      <c r="K111" s="13"/>
      <c r="L111" s="24"/>
      <c r="M111" s="13"/>
      <c r="N111" s="24"/>
      <c r="O111" s="13"/>
    </row>
    <row r="112" spans="1:15" ht="43.2" x14ac:dyDescent="0.3">
      <c r="A112" s="12" t="s">
        <v>151</v>
      </c>
      <c r="B112" s="12" t="s">
        <v>370</v>
      </c>
      <c r="C112" s="11" t="s">
        <v>392</v>
      </c>
      <c r="D112" s="11" t="s">
        <v>393</v>
      </c>
      <c r="E112" s="11" t="s">
        <v>394</v>
      </c>
      <c r="F112" s="24"/>
      <c r="G112" s="13"/>
      <c r="H112" s="24"/>
      <c r="I112" s="13"/>
      <c r="J112" s="24"/>
      <c r="K112" s="13"/>
      <c r="L112" s="24"/>
      <c r="M112" s="13"/>
      <c r="N112" s="24"/>
      <c r="O112" s="13"/>
    </row>
    <row r="113" spans="1:15" ht="43.2" x14ac:dyDescent="0.3">
      <c r="A113" s="12" t="s">
        <v>151</v>
      </c>
      <c r="B113" s="12" t="s">
        <v>558</v>
      </c>
      <c r="C113" s="11" t="s">
        <v>392</v>
      </c>
      <c r="D113" s="11" t="s">
        <v>393</v>
      </c>
      <c r="E113" s="11" t="s">
        <v>394</v>
      </c>
      <c r="F113" s="24"/>
      <c r="G113" s="13"/>
      <c r="H113" s="24"/>
      <c r="I113" s="13"/>
      <c r="J113" s="24"/>
      <c r="K113" s="13"/>
      <c r="L113" s="24"/>
      <c r="M113" s="13"/>
      <c r="N113" s="24"/>
      <c r="O113" s="13"/>
    </row>
    <row r="114" spans="1:15" ht="57.6" x14ac:dyDescent="0.3">
      <c r="A114" s="12" t="s">
        <v>151</v>
      </c>
      <c r="B114" s="12" t="s">
        <v>371</v>
      </c>
      <c r="C114" s="11" t="s">
        <v>392</v>
      </c>
      <c r="D114" s="11" t="s">
        <v>393</v>
      </c>
      <c r="E114" s="11" t="s">
        <v>394</v>
      </c>
      <c r="F114" s="24"/>
      <c r="G114" s="13"/>
      <c r="H114" s="24"/>
      <c r="I114" s="13"/>
      <c r="J114" s="24"/>
      <c r="K114" s="13"/>
      <c r="L114" s="24"/>
      <c r="M114" s="13"/>
      <c r="N114" s="24"/>
      <c r="O114" s="13"/>
    </row>
    <row r="115" spans="1:15" ht="43.2" x14ac:dyDescent="0.3">
      <c r="A115" s="12" t="s">
        <v>151</v>
      </c>
      <c r="B115" s="12" t="s">
        <v>372</v>
      </c>
      <c r="C115" s="11" t="s">
        <v>392</v>
      </c>
      <c r="D115" s="11" t="s">
        <v>393</v>
      </c>
      <c r="E115" s="11" t="s">
        <v>394</v>
      </c>
      <c r="F115" s="24"/>
      <c r="G115" s="13"/>
      <c r="H115" s="24"/>
      <c r="I115" s="13"/>
      <c r="J115" s="24"/>
      <c r="K115" s="13"/>
      <c r="L115" s="24"/>
      <c r="M115" s="13"/>
      <c r="N115" s="24"/>
      <c r="O115" s="13"/>
    </row>
    <row r="116" spans="1:15" ht="43.2" x14ac:dyDescent="0.3">
      <c r="A116" s="12" t="s">
        <v>151</v>
      </c>
      <c r="B116" s="12" t="s">
        <v>373</v>
      </c>
      <c r="C116" s="11" t="s">
        <v>392</v>
      </c>
      <c r="D116" s="11" t="s">
        <v>393</v>
      </c>
      <c r="E116" s="11" t="s">
        <v>394</v>
      </c>
      <c r="F116" s="24"/>
      <c r="G116" s="13"/>
      <c r="H116" s="24"/>
      <c r="I116" s="13"/>
      <c r="J116" s="24"/>
      <c r="K116" s="13"/>
      <c r="L116" s="24"/>
      <c r="M116" s="13"/>
      <c r="N116" s="24"/>
      <c r="O116" s="13"/>
    </row>
    <row r="117" spans="1:15" ht="57.6" x14ac:dyDescent="0.3">
      <c r="A117" s="12" t="s">
        <v>151</v>
      </c>
      <c r="B117" s="12" t="s">
        <v>374</v>
      </c>
      <c r="C117" s="11" t="s">
        <v>392</v>
      </c>
      <c r="D117" s="11" t="s">
        <v>393</v>
      </c>
      <c r="E117" s="11" t="s">
        <v>394</v>
      </c>
      <c r="F117" s="24"/>
      <c r="G117" s="13"/>
      <c r="H117" s="24"/>
      <c r="I117" s="13"/>
      <c r="J117" s="24"/>
      <c r="K117" s="13"/>
      <c r="L117" s="24"/>
      <c r="M117" s="13"/>
      <c r="N117" s="24"/>
      <c r="O117" s="13"/>
    </row>
    <row r="118" spans="1:15" ht="28.8" x14ac:dyDescent="0.3">
      <c r="A118" s="12" t="s">
        <v>151</v>
      </c>
      <c r="B118" s="12" t="s">
        <v>375</v>
      </c>
      <c r="C118" s="11" t="s">
        <v>392</v>
      </c>
      <c r="D118" s="11" t="s">
        <v>393</v>
      </c>
      <c r="E118" s="11" t="s">
        <v>394</v>
      </c>
      <c r="F118" s="24"/>
      <c r="G118" s="13"/>
      <c r="H118" s="24"/>
      <c r="I118" s="13"/>
      <c r="J118" s="24"/>
      <c r="K118" s="13"/>
      <c r="L118" s="24"/>
      <c r="M118" s="13"/>
      <c r="N118" s="24"/>
      <c r="O118" s="13"/>
    </row>
    <row r="119" spans="1:15" ht="43.2" x14ac:dyDescent="0.3">
      <c r="A119" s="12" t="s">
        <v>151</v>
      </c>
      <c r="B119" s="12" t="s">
        <v>376</v>
      </c>
      <c r="C119" s="11" t="s">
        <v>392</v>
      </c>
      <c r="D119" s="11" t="s">
        <v>393</v>
      </c>
      <c r="E119" s="11" t="s">
        <v>394</v>
      </c>
      <c r="F119" s="24"/>
      <c r="G119" s="13"/>
      <c r="H119" s="24"/>
      <c r="I119" s="13"/>
      <c r="J119" s="24"/>
      <c r="K119" s="13"/>
      <c r="L119" s="24"/>
      <c r="M119" s="13"/>
      <c r="N119" s="24"/>
      <c r="O119" s="13"/>
    </row>
    <row r="120" spans="1:15" ht="43.2" x14ac:dyDescent="0.3">
      <c r="A120" s="12" t="s">
        <v>151</v>
      </c>
      <c r="B120" s="12" t="s">
        <v>377</v>
      </c>
      <c r="C120" s="11" t="s">
        <v>392</v>
      </c>
      <c r="D120" s="11" t="s">
        <v>393</v>
      </c>
      <c r="E120" s="11" t="s">
        <v>394</v>
      </c>
      <c r="F120" s="24"/>
      <c r="G120" s="13"/>
      <c r="H120" s="24"/>
      <c r="I120" s="13"/>
      <c r="J120" s="24"/>
      <c r="K120" s="13"/>
      <c r="L120" s="24"/>
      <c r="M120" s="13"/>
      <c r="N120" s="24"/>
      <c r="O120" s="13"/>
    </row>
    <row r="121" spans="1:15" ht="28.8" x14ac:dyDescent="0.3">
      <c r="A121" s="12" t="s">
        <v>151</v>
      </c>
      <c r="B121" s="12" t="s">
        <v>378</v>
      </c>
      <c r="C121" s="11" t="s">
        <v>392</v>
      </c>
      <c r="D121" s="11" t="s">
        <v>393</v>
      </c>
      <c r="E121" s="11" t="s">
        <v>394</v>
      </c>
      <c r="F121" s="24"/>
      <c r="G121" s="13"/>
      <c r="H121" s="24"/>
      <c r="I121" s="13"/>
      <c r="J121" s="24"/>
      <c r="K121" s="13"/>
      <c r="L121" s="24"/>
      <c r="M121" s="13"/>
      <c r="N121" s="24"/>
      <c r="O121" s="13"/>
    </row>
    <row r="122" spans="1:15" ht="57.6" x14ac:dyDescent="0.3">
      <c r="A122" s="12" t="s">
        <v>151</v>
      </c>
      <c r="B122" s="12" t="s">
        <v>379</v>
      </c>
      <c r="C122" s="11" t="s">
        <v>392</v>
      </c>
      <c r="D122" s="11" t="s">
        <v>393</v>
      </c>
      <c r="E122" s="11" t="s">
        <v>394</v>
      </c>
      <c r="F122" s="24"/>
      <c r="G122" s="13"/>
      <c r="H122" s="24"/>
      <c r="I122" s="13"/>
      <c r="J122" s="24"/>
      <c r="K122" s="13"/>
      <c r="L122" s="24"/>
      <c r="M122" s="13"/>
      <c r="N122" s="24"/>
      <c r="O122" s="13"/>
    </row>
    <row r="123" spans="1:15" ht="28.8" x14ac:dyDescent="0.3">
      <c r="A123" s="12" t="s">
        <v>151</v>
      </c>
      <c r="B123" s="12" t="s">
        <v>380</v>
      </c>
      <c r="C123" s="11" t="s">
        <v>392</v>
      </c>
      <c r="D123" s="11" t="s">
        <v>393</v>
      </c>
      <c r="E123" s="11" t="s">
        <v>394</v>
      </c>
      <c r="F123" s="24"/>
      <c r="G123" s="13"/>
      <c r="H123" s="24"/>
      <c r="I123" s="13"/>
      <c r="J123" s="24"/>
      <c r="K123" s="13"/>
      <c r="L123" s="24"/>
      <c r="M123" s="13"/>
      <c r="N123" s="24"/>
      <c r="O123" s="13"/>
    </row>
    <row r="124" spans="1:15" ht="43.2" x14ac:dyDescent="0.3">
      <c r="A124" s="12" t="s">
        <v>151</v>
      </c>
      <c r="B124" s="12" t="s">
        <v>381</v>
      </c>
      <c r="C124" s="11" t="s">
        <v>392</v>
      </c>
      <c r="D124" s="11" t="s">
        <v>393</v>
      </c>
      <c r="E124" s="11" t="s">
        <v>394</v>
      </c>
      <c r="F124" s="24"/>
      <c r="G124" s="13"/>
      <c r="H124" s="24"/>
      <c r="I124" s="13"/>
      <c r="J124" s="24"/>
      <c r="K124" s="13"/>
      <c r="L124" s="24"/>
      <c r="M124" s="13"/>
      <c r="N124" s="24"/>
      <c r="O124" s="13"/>
    </row>
    <row r="125" spans="1:15" ht="43.2" x14ac:dyDescent="0.3">
      <c r="A125" s="12" t="s">
        <v>151</v>
      </c>
      <c r="B125" s="12" t="s">
        <v>382</v>
      </c>
      <c r="C125" s="11" t="s">
        <v>392</v>
      </c>
      <c r="D125" s="11" t="s">
        <v>393</v>
      </c>
      <c r="E125" s="11" t="s">
        <v>394</v>
      </c>
      <c r="F125" s="24"/>
      <c r="G125" s="13"/>
      <c r="H125" s="24"/>
      <c r="I125" s="13"/>
      <c r="J125" s="24"/>
      <c r="K125" s="13"/>
      <c r="L125" s="24"/>
      <c r="M125" s="13"/>
      <c r="N125" s="24"/>
      <c r="O125" s="13"/>
    </row>
    <row r="126" spans="1:15" ht="43.2" x14ac:dyDescent="0.3">
      <c r="A126" s="12" t="s">
        <v>151</v>
      </c>
      <c r="B126" s="12" t="s">
        <v>383</v>
      </c>
      <c r="C126" s="11" t="s">
        <v>392</v>
      </c>
      <c r="D126" s="11" t="s">
        <v>393</v>
      </c>
      <c r="E126" s="11" t="s">
        <v>394</v>
      </c>
      <c r="F126" s="24"/>
      <c r="G126" s="13"/>
      <c r="H126" s="24"/>
      <c r="I126" s="13"/>
      <c r="J126" s="24"/>
      <c r="K126" s="13"/>
      <c r="L126" s="24"/>
      <c r="M126" s="13"/>
      <c r="N126" s="24"/>
      <c r="O126" s="13"/>
    </row>
    <row r="127" spans="1:15" ht="43.2" x14ac:dyDescent="0.3">
      <c r="A127" s="12" t="s">
        <v>151</v>
      </c>
      <c r="B127" s="12" t="s">
        <v>384</v>
      </c>
      <c r="C127" s="11" t="s">
        <v>392</v>
      </c>
      <c r="D127" s="11" t="s">
        <v>393</v>
      </c>
      <c r="E127" s="11" t="s">
        <v>394</v>
      </c>
      <c r="F127" s="24"/>
      <c r="G127" s="13"/>
      <c r="H127" s="24"/>
      <c r="I127" s="13"/>
      <c r="J127" s="24"/>
      <c r="K127" s="13"/>
      <c r="L127" s="24"/>
      <c r="M127" s="13"/>
      <c r="N127" s="24"/>
      <c r="O127" s="13"/>
    </row>
    <row r="128" spans="1:15" ht="43.2" x14ac:dyDescent="0.3">
      <c r="A128" s="12" t="s">
        <v>151</v>
      </c>
      <c r="B128" s="12" t="s">
        <v>385</v>
      </c>
      <c r="C128" s="11" t="s">
        <v>392</v>
      </c>
      <c r="D128" s="11" t="s">
        <v>393</v>
      </c>
      <c r="E128" s="11" t="s">
        <v>394</v>
      </c>
      <c r="F128" s="24"/>
      <c r="G128" s="13"/>
      <c r="H128" s="24"/>
      <c r="I128" s="13"/>
      <c r="J128" s="24"/>
      <c r="K128" s="13"/>
      <c r="L128" s="24"/>
      <c r="M128" s="13"/>
      <c r="N128" s="24"/>
      <c r="O128" s="13"/>
    </row>
    <row r="129" spans="1:15" ht="28.8" x14ac:dyDescent="0.3">
      <c r="A129" s="12" t="s">
        <v>151</v>
      </c>
      <c r="B129" s="12" t="s">
        <v>386</v>
      </c>
      <c r="C129" s="11" t="s">
        <v>392</v>
      </c>
      <c r="D129" s="11" t="s">
        <v>393</v>
      </c>
      <c r="E129" s="11" t="s">
        <v>394</v>
      </c>
      <c r="F129" s="24"/>
      <c r="G129" s="13"/>
      <c r="H129" s="24"/>
      <c r="I129" s="13"/>
      <c r="J129" s="24"/>
      <c r="K129" s="13"/>
      <c r="L129" s="24"/>
      <c r="M129" s="13"/>
      <c r="N129" s="24"/>
      <c r="O129" s="13"/>
    </row>
    <row r="130" spans="1:15" ht="28.8" x14ac:dyDescent="0.3">
      <c r="A130" s="12" t="s">
        <v>151</v>
      </c>
      <c r="B130" s="12" t="s">
        <v>387</v>
      </c>
      <c r="C130" s="11" t="s">
        <v>392</v>
      </c>
      <c r="D130" s="11" t="s">
        <v>393</v>
      </c>
      <c r="E130" s="11" t="s">
        <v>394</v>
      </c>
      <c r="F130" s="24"/>
      <c r="G130" s="13"/>
      <c r="H130" s="24"/>
      <c r="I130" s="13"/>
      <c r="J130" s="24"/>
      <c r="K130" s="13"/>
      <c r="L130" s="24"/>
      <c r="M130" s="13"/>
      <c r="N130" s="24"/>
      <c r="O130" s="13"/>
    </row>
    <row r="131" spans="1:15" ht="28.8" x14ac:dyDescent="0.3">
      <c r="A131" s="12" t="s">
        <v>151</v>
      </c>
      <c r="B131" s="12" t="s">
        <v>388</v>
      </c>
      <c r="C131" s="11" t="s">
        <v>392</v>
      </c>
      <c r="D131" s="11" t="s">
        <v>393</v>
      </c>
      <c r="E131" s="11" t="s">
        <v>394</v>
      </c>
      <c r="F131" s="24"/>
      <c r="G131" s="13"/>
      <c r="H131" s="24"/>
      <c r="I131" s="13"/>
      <c r="J131" s="24"/>
      <c r="K131" s="13"/>
      <c r="L131" s="24"/>
      <c r="M131" s="13"/>
      <c r="N131" s="24"/>
      <c r="O131" s="13"/>
    </row>
    <row r="132" spans="1:15" ht="28.8" x14ac:dyDescent="0.3">
      <c r="A132" s="12" t="s">
        <v>151</v>
      </c>
      <c r="B132" s="12" t="s">
        <v>389</v>
      </c>
      <c r="C132" s="11" t="s">
        <v>392</v>
      </c>
      <c r="D132" s="11" t="s">
        <v>393</v>
      </c>
      <c r="E132" s="11" t="s">
        <v>394</v>
      </c>
      <c r="F132" s="24"/>
      <c r="G132" s="13"/>
      <c r="H132" s="24"/>
      <c r="I132" s="13"/>
      <c r="J132" s="24"/>
      <c r="K132" s="13"/>
      <c r="L132" s="24"/>
      <c r="M132" s="13"/>
      <c r="N132" s="24"/>
      <c r="O132" s="13"/>
    </row>
    <row r="133" spans="1:15" ht="43.2" x14ac:dyDescent="0.3">
      <c r="A133" s="12" t="s">
        <v>151</v>
      </c>
      <c r="B133" s="12" t="s">
        <v>390</v>
      </c>
      <c r="C133" s="11" t="s">
        <v>392</v>
      </c>
      <c r="D133" s="11" t="s">
        <v>393</v>
      </c>
      <c r="E133" s="11" t="s">
        <v>394</v>
      </c>
      <c r="F133" s="24"/>
      <c r="G133" s="13"/>
      <c r="H133" s="24"/>
      <c r="I133" s="13"/>
      <c r="J133" s="24"/>
      <c r="K133" s="13"/>
      <c r="L133" s="24"/>
      <c r="M133" s="13"/>
      <c r="N133" s="24"/>
      <c r="O133" s="13"/>
    </row>
    <row r="134" spans="1:15" ht="43.2" x14ac:dyDescent="0.3">
      <c r="A134" s="12" t="s">
        <v>151</v>
      </c>
      <c r="B134" s="12" t="s">
        <v>391</v>
      </c>
      <c r="C134" s="11" t="s">
        <v>392</v>
      </c>
      <c r="D134" s="11" t="s">
        <v>393</v>
      </c>
      <c r="E134" s="11" t="s">
        <v>394</v>
      </c>
      <c r="F134" s="24"/>
      <c r="G134" s="13"/>
      <c r="H134" s="24"/>
      <c r="I134" s="13"/>
      <c r="J134" s="24"/>
      <c r="K134" s="13"/>
      <c r="L134" s="24"/>
      <c r="M134" s="13"/>
      <c r="N134" s="24"/>
      <c r="O134" s="13"/>
    </row>
    <row r="135" spans="1:15" ht="43.2" x14ac:dyDescent="0.3">
      <c r="A135" s="12" t="s">
        <v>523</v>
      </c>
      <c r="B135" s="12" t="s">
        <v>395</v>
      </c>
      <c r="C135" s="11" t="s">
        <v>392</v>
      </c>
      <c r="D135" s="11" t="s">
        <v>393</v>
      </c>
      <c r="E135" s="11" t="s">
        <v>394</v>
      </c>
      <c r="F135" s="24"/>
      <c r="G135" s="13"/>
      <c r="H135" s="24"/>
      <c r="I135" s="13"/>
      <c r="J135" s="24"/>
      <c r="K135" s="13"/>
      <c r="L135" s="24"/>
      <c r="M135" s="13"/>
      <c r="N135" s="24"/>
      <c r="O135" s="13"/>
    </row>
    <row r="136" spans="1:15" ht="28.8" x14ac:dyDescent="0.3">
      <c r="A136" s="12" t="s">
        <v>523</v>
      </c>
      <c r="B136" s="12" t="s">
        <v>396</v>
      </c>
      <c r="C136" s="11" t="s">
        <v>392</v>
      </c>
      <c r="D136" s="11" t="s">
        <v>393</v>
      </c>
      <c r="E136" s="11" t="s">
        <v>394</v>
      </c>
      <c r="F136" s="24"/>
      <c r="G136" s="13"/>
      <c r="H136" s="24"/>
      <c r="I136" s="13"/>
      <c r="J136" s="24"/>
      <c r="K136" s="13"/>
      <c r="L136" s="24"/>
      <c r="M136" s="13"/>
      <c r="N136" s="24"/>
      <c r="O136" s="13"/>
    </row>
    <row r="137" spans="1:15" ht="43.2" x14ac:dyDescent="0.3">
      <c r="A137" s="12" t="s">
        <v>523</v>
      </c>
      <c r="B137" s="12" t="s">
        <v>397</v>
      </c>
      <c r="C137" s="11" t="s">
        <v>392</v>
      </c>
      <c r="D137" s="11" t="s">
        <v>393</v>
      </c>
      <c r="E137" s="11" t="s">
        <v>394</v>
      </c>
      <c r="F137" s="24"/>
      <c r="G137" s="13"/>
      <c r="H137" s="24"/>
      <c r="I137" s="13"/>
      <c r="J137" s="24"/>
      <c r="K137" s="13"/>
      <c r="L137" s="24"/>
      <c r="M137" s="13"/>
      <c r="N137" s="24"/>
      <c r="O137" s="13"/>
    </row>
    <row r="138" spans="1:15" ht="57.6" x14ac:dyDescent="0.3">
      <c r="A138" s="12" t="s">
        <v>523</v>
      </c>
      <c r="B138" s="12" t="s">
        <v>398</v>
      </c>
      <c r="C138" s="11" t="s">
        <v>392</v>
      </c>
      <c r="D138" s="11" t="s">
        <v>393</v>
      </c>
      <c r="E138" s="11" t="s">
        <v>394</v>
      </c>
      <c r="F138" s="24"/>
      <c r="G138" s="13"/>
      <c r="H138" s="24"/>
      <c r="I138" s="13"/>
      <c r="J138" s="24"/>
      <c r="K138" s="13"/>
      <c r="L138" s="24"/>
      <c r="M138" s="13"/>
      <c r="N138" s="24"/>
      <c r="O138" s="13"/>
    </row>
    <row r="139" spans="1:15" ht="28.8" x14ac:dyDescent="0.3">
      <c r="A139" s="12" t="s">
        <v>523</v>
      </c>
      <c r="B139" s="12" t="s">
        <v>399</v>
      </c>
      <c r="C139" s="11" t="s">
        <v>392</v>
      </c>
      <c r="D139" s="11" t="s">
        <v>393</v>
      </c>
      <c r="E139" s="11" t="s">
        <v>394</v>
      </c>
      <c r="F139" s="24"/>
      <c r="G139" s="13"/>
      <c r="H139" s="24"/>
      <c r="I139" s="13"/>
      <c r="J139" s="24"/>
      <c r="K139" s="13"/>
      <c r="L139" s="24"/>
      <c r="M139" s="13"/>
      <c r="N139" s="24"/>
      <c r="O139" s="13"/>
    </row>
    <row r="140" spans="1:15" ht="28.8" x14ac:dyDescent="0.3">
      <c r="A140" s="12" t="s">
        <v>523</v>
      </c>
      <c r="B140" s="12" t="s">
        <v>400</v>
      </c>
      <c r="C140" s="11" t="s">
        <v>392</v>
      </c>
      <c r="D140" s="11" t="s">
        <v>393</v>
      </c>
      <c r="E140" s="11" t="s">
        <v>394</v>
      </c>
      <c r="F140" s="24"/>
      <c r="G140" s="13"/>
      <c r="H140" s="24"/>
      <c r="I140" s="13"/>
      <c r="J140" s="24"/>
      <c r="K140" s="13"/>
      <c r="L140" s="24"/>
      <c r="M140" s="13"/>
      <c r="N140" s="24"/>
      <c r="O140" s="13"/>
    </row>
    <row r="141" spans="1:15" ht="57.6" x14ac:dyDescent="0.3">
      <c r="A141" s="12" t="s">
        <v>523</v>
      </c>
      <c r="B141" s="12" t="s">
        <v>401</v>
      </c>
      <c r="C141" s="11" t="s">
        <v>392</v>
      </c>
      <c r="D141" s="11" t="s">
        <v>393</v>
      </c>
      <c r="E141" s="11" t="s">
        <v>394</v>
      </c>
      <c r="F141" s="24"/>
      <c r="G141" s="13"/>
      <c r="H141" s="24"/>
      <c r="I141" s="13"/>
      <c r="J141" s="24"/>
      <c r="K141" s="13"/>
      <c r="L141" s="24"/>
      <c r="M141" s="13"/>
      <c r="N141" s="24"/>
      <c r="O141" s="13"/>
    </row>
    <row r="142" spans="1:15" ht="28.8" x14ac:dyDescent="0.3">
      <c r="A142" s="12" t="s">
        <v>523</v>
      </c>
      <c r="B142" s="12" t="s">
        <v>402</v>
      </c>
      <c r="C142" s="11" t="s">
        <v>392</v>
      </c>
      <c r="D142" s="11" t="s">
        <v>393</v>
      </c>
      <c r="E142" s="11" t="s">
        <v>394</v>
      </c>
      <c r="F142" s="24"/>
      <c r="G142" s="13"/>
      <c r="H142" s="24"/>
      <c r="I142" s="13"/>
      <c r="J142" s="24"/>
      <c r="K142" s="13"/>
      <c r="L142" s="24"/>
      <c r="M142" s="13"/>
      <c r="N142" s="24"/>
      <c r="O142" s="13"/>
    </row>
    <row r="143" spans="1:15" ht="43.2" x14ac:dyDescent="0.3">
      <c r="A143" s="12" t="s">
        <v>523</v>
      </c>
      <c r="B143" s="12" t="s">
        <v>403</v>
      </c>
      <c r="C143" s="11" t="s">
        <v>392</v>
      </c>
      <c r="D143" s="11" t="s">
        <v>393</v>
      </c>
      <c r="E143" s="11" t="s">
        <v>394</v>
      </c>
      <c r="F143" s="24"/>
      <c r="G143" s="13"/>
      <c r="H143" s="24"/>
      <c r="I143" s="13"/>
      <c r="J143" s="24"/>
      <c r="K143" s="13"/>
      <c r="L143" s="24"/>
      <c r="M143" s="13"/>
      <c r="N143" s="24"/>
      <c r="O143" s="13"/>
    </row>
    <row r="144" spans="1:15" ht="43.2" x14ac:dyDescent="0.3">
      <c r="A144" s="12" t="s">
        <v>523</v>
      </c>
      <c r="B144" s="12" t="s">
        <v>404</v>
      </c>
      <c r="C144" s="11" t="s">
        <v>392</v>
      </c>
      <c r="D144" s="11" t="s">
        <v>393</v>
      </c>
      <c r="E144" s="11" t="s">
        <v>394</v>
      </c>
      <c r="F144" s="24"/>
      <c r="G144" s="13"/>
      <c r="H144" s="24"/>
      <c r="I144" s="13"/>
      <c r="J144" s="24"/>
      <c r="K144" s="13"/>
      <c r="L144" s="24"/>
      <c r="M144" s="13"/>
      <c r="N144" s="24"/>
      <c r="O144" s="13"/>
    </row>
    <row r="145" spans="1:15" ht="57.6" x14ac:dyDescent="0.3">
      <c r="A145" s="12" t="s">
        <v>523</v>
      </c>
      <c r="B145" s="12" t="s">
        <v>405</v>
      </c>
      <c r="C145" s="11" t="s">
        <v>392</v>
      </c>
      <c r="D145" s="11" t="s">
        <v>393</v>
      </c>
      <c r="E145" s="11" t="s">
        <v>394</v>
      </c>
      <c r="F145" s="24"/>
      <c r="G145" s="13"/>
      <c r="H145" s="24"/>
      <c r="I145" s="13"/>
      <c r="J145" s="24"/>
      <c r="K145" s="13"/>
      <c r="L145" s="24"/>
      <c r="M145" s="13"/>
      <c r="N145" s="24"/>
      <c r="O145" s="13"/>
    </row>
    <row r="146" spans="1:15" ht="28.8" x14ac:dyDescent="0.3">
      <c r="A146" s="12" t="s">
        <v>523</v>
      </c>
      <c r="B146" s="12" t="s">
        <v>406</v>
      </c>
      <c r="C146" s="11" t="s">
        <v>392</v>
      </c>
      <c r="D146" s="11" t="s">
        <v>393</v>
      </c>
      <c r="E146" s="11" t="s">
        <v>394</v>
      </c>
      <c r="F146" s="24"/>
      <c r="G146" s="13"/>
      <c r="H146" s="24"/>
      <c r="I146" s="13"/>
      <c r="J146" s="24"/>
      <c r="K146" s="13"/>
      <c r="L146" s="24"/>
      <c r="M146" s="13"/>
      <c r="N146" s="24"/>
      <c r="O146" s="13"/>
    </row>
    <row r="147" spans="1:15" ht="43.2" x14ac:dyDescent="0.3">
      <c r="A147" s="12" t="s">
        <v>523</v>
      </c>
      <c r="B147" s="12" t="s">
        <v>407</v>
      </c>
      <c r="C147" s="11" t="s">
        <v>392</v>
      </c>
      <c r="D147" s="11" t="s">
        <v>393</v>
      </c>
      <c r="E147" s="11" t="s">
        <v>394</v>
      </c>
      <c r="F147" s="24"/>
      <c r="G147" s="13"/>
      <c r="H147" s="24"/>
      <c r="I147" s="13"/>
      <c r="J147" s="24"/>
      <c r="K147" s="13"/>
      <c r="L147" s="24"/>
      <c r="M147" s="13"/>
      <c r="N147" s="24"/>
      <c r="O147" s="13"/>
    </row>
    <row r="148" spans="1:15" ht="43.2" x14ac:dyDescent="0.3">
      <c r="A148" s="12" t="s">
        <v>523</v>
      </c>
      <c r="B148" s="12" t="s">
        <v>408</v>
      </c>
      <c r="C148" s="11" t="s">
        <v>392</v>
      </c>
      <c r="D148" s="11" t="s">
        <v>393</v>
      </c>
      <c r="E148" s="11" t="s">
        <v>394</v>
      </c>
      <c r="F148" s="24"/>
      <c r="G148" s="13"/>
      <c r="H148" s="24"/>
      <c r="I148" s="13"/>
      <c r="J148" s="24"/>
      <c r="K148" s="13"/>
      <c r="L148" s="24"/>
      <c r="M148" s="13"/>
      <c r="N148" s="24"/>
      <c r="O148" s="13"/>
    </row>
    <row r="149" spans="1:15" ht="28.8" x14ac:dyDescent="0.3">
      <c r="A149" s="12" t="s">
        <v>409</v>
      </c>
      <c r="B149" s="12" t="s">
        <v>536</v>
      </c>
      <c r="C149" s="11" t="s">
        <v>392</v>
      </c>
      <c r="D149" s="11" t="s">
        <v>393</v>
      </c>
      <c r="E149" s="11" t="s">
        <v>394</v>
      </c>
      <c r="F149" s="24"/>
      <c r="G149" s="13"/>
      <c r="H149" s="24"/>
      <c r="I149" s="13"/>
      <c r="J149" s="24"/>
      <c r="K149" s="13"/>
      <c r="L149" s="24"/>
      <c r="M149" s="13"/>
      <c r="N149" s="24"/>
      <c r="O149" s="13"/>
    </row>
    <row r="150" spans="1:15" ht="28.8" x14ac:dyDescent="0.3">
      <c r="A150" s="12" t="s">
        <v>409</v>
      </c>
      <c r="B150" s="12" t="s">
        <v>410</v>
      </c>
      <c r="C150" s="11" t="s">
        <v>392</v>
      </c>
      <c r="D150" s="11" t="s">
        <v>393</v>
      </c>
      <c r="E150" s="11" t="s">
        <v>394</v>
      </c>
      <c r="F150" s="24"/>
      <c r="G150" s="13"/>
      <c r="H150" s="24"/>
      <c r="I150" s="13"/>
      <c r="J150" s="24"/>
      <c r="K150" s="13"/>
      <c r="L150" s="24"/>
      <c r="M150" s="13"/>
      <c r="N150" s="24"/>
      <c r="O150" s="13"/>
    </row>
    <row r="151" spans="1:15" ht="28.8" x14ac:dyDescent="0.3">
      <c r="A151" s="12" t="s">
        <v>565</v>
      </c>
      <c r="B151" s="12" t="s">
        <v>524</v>
      </c>
      <c r="C151" s="11" t="s">
        <v>392</v>
      </c>
      <c r="D151" s="11" t="s">
        <v>393</v>
      </c>
      <c r="E151" s="11" t="s">
        <v>394</v>
      </c>
      <c r="F151" s="24"/>
      <c r="G151" s="13"/>
      <c r="H151" s="24"/>
      <c r="I151" s="13"/>
      <c r="J151" s="24"/>
      <c r="K151" s="13"/>
      <c r="L151" s="24"/>
      <c r="M151" s="13"/>
      <c r="N151" s="24"/>
      <c r="O151" s="13"/>
    </row>
    <row r="152" spans="1:15" ht="28.8" x14ac:dyDescent="0.3">
      <c r="A152" s="12" t="s">
        <v>565</v>
      </c>
      <c r="B152" s="12" t="s">
        <v>525</v>
      </c>
      <c r="C152" s="11" t="s">
        <v>392</v>
      </c>
      <c r="D152" s="11" t="s">
        <v>393</v>
      </c>
      <c r="E152" s="11" t="s">
        <v>394</v>
      </c>
      <c r="F152" s="24"/>
      <c r="G152" s="13"/>
      <c r="H152" s="24"/>
      <c r="I152" s="13"/>
      <c r="J152" s="24"/>
      <c r="K152" s="13"/>
      <c r="L152" s="24"/>
      <c r="M152" s="13"/>
      <c r="N152" s="24"/>
      <c r="O152" s="13"/>
    </row>
    <row r="153" spans="1:15" ht="28.8" x14ac:dyDescent="0.3">
      <c r="A153" s="12" t="s">
        <v>565</v>
      </c>
      <c r="B153" s="12" t="s">
        <v>526</v>
      </c>
      <c r="C153" s="11" t="s">
        <v>392</v>
      </c>
      <c r="D153" s="11" t="s">
        <v>393</v>
      </c>
      <c r="E153" s="11" t="s">
        <v>394</v>
      </c>
      <c r="F153" s="24"/>
      <c r="G153" s="13"/>
      <c r="H153" s="24"/>
      <c r="I153" s="13"/>
      <c r="J153" s="24"/>
      <c r="K153" s="13"/>
      <c r="L153" s="24"/>
      <c r="M153" s="13"/>
      <c r="N153" s="24"/>
      <c r="O153" s="13"/>
    </row>
    <row r="154" spans="1:15" ht="28.8" x14ac:dyDescent="0.3">
      <c r="A154" s="12" t="s">
        <v>565</v>
      </c>
      <c r="B154" s="12" t="s">
        <v>527</v>
      </c>
      <c r="C154" s="11" t="s">
        <v>392</v>
      </c>
      <c r="D154" s="11" t="s">
        <v>393</v>
      </c>
      <c r="E154" s="11" t="s">
        <v>394</v>
      </c>
      <c r="F154" s="24"/>
      <c r="G154" s="13"/>
      <c r="H154" s="24"/>
      <c r="I154" s="13"/>
      <c r="J154" s="24"/>
      <c r="K154" s="13"/>
      <c r="L154" s="24"/>
      <c r="M154" s="13"/>
      <c r="N154" s="24"/>
      <c r="O154" s="13"/>
    </row>
    <row r="155" spans="1:15" ht="28.8" x14ac:dyDescent="0.3">
      <c r="A155" s="12" t="s">
        <v>565</v>
      </c>
      <c r="B155" s="12" t="s">
        <v>528</v>
      </c>
      <c r="C155" s="11" t="s">
        <v>392</v>
      </c>
      <c r="D155" s="11" t="s">
        <v>393</v>
      </c>
      <c r="E155" s="11" t="s">
        <v>394</v>
      </c>
      <c r="F155" s="24"/>
      <c r="G155" s="13"/>
      <c r="H155" s="24"/>
      <c r="I155" s="13"/>
      <c r="J155" s="24"/>
      <c r="K155" s="13"/>
      <c r="L155" s="24"/>
      <c r="M155" s="13"/>
      <c r="N155" s="24"/>
      <c r="O155" s="13"/>
    </row>
    <row r="156" spans="1:15" ht="28.8" x14ac:dyDescent="0.3">
      <c r="A156" s="12" t="s">
        <v>565</v>
      </c>
      <c r="B156" s="12" t="s">
        <v>136</v>
      </c>
      <c r="C156" s="11" t="s">
        <v>392</v>
      </c>
      <c r="D156" s="11" t="s">
        <v>393</v>
      </c>
      <c r="E156" s="11" t="s">
        <v>394</v>
      </c>
      <c r="F156" s="24"/>
      <c r="G156" s="13"/>
      <c r="H156" s="24"/>
      <c r="I156" s="13"/>
      <c r="J156" s="24"/>
      <c r="K156" s="13"/>
      <c r="L156" s="24"/>
      <c r="M156" s="13"/>
      <c r="N156" s="24"/>
      <c r="O156" s="13"/>
    </row>
    <row r="157" spans="1:15" ht="28.8" x14ac:dyDescent="0.3">
      <c r="A157" s="12" t="s">
        <v>565</v>
      </c>
      <c r="B157" s="12" t="s">
        <v>529</v>
      </c>
      <c r="C157" s="11" t="s">
        <v>392</v>
      </c>
      <c r="D157" s="11" t="s">
        <v>393</v>
      </c>
      <c r="E157" s="11" t="s">
        <v>394</v>
      </c>
      <c r="F157" s="24"/>
      <c r="G157" s="13"/>
      <c r="H157" s="24"/>
      <c r="I157" s="13"/>
      <c r="J157" s="24"/>
      <c r="K157" s="13"/>
      <c r="L157" s="24"/>
      <c r="M157" s="13"/>
      <c r="N157" s="24"/>
      <c r="O157" s="13"/>
    </row>
    <row r="158" spans="1:15" ht="28.8" x14ac:dyDescent="0.3">
      <c r="A158" s="12" t="s">
        <v>565</v>
      </c>
      <c r="B158" s="12" t="s">
        <v>530</v>
      </c>
      <c r="C158" s="11" t="s">
        <v>392</v>
      </c>
      <c r="D158" s="11" t="s">
        <v>393</v>
      </c>
      <c r="E158" s="11" t="s">
        <v>394</v>
      </c>
      <c r="F158" s="24"/>
      <c r="G158" s="13"/>
      <c r="H158" s="24"/>
      <c r="I158" s="13"/>
      <c r="J158" s="24"/>
      <c r="K158" s="13"/>
      <c r="L158" s="24"/>
      <c r="M158" s="13"/>
      <c r="N158" s="24"/>
      <c r="O158" s="13"/>
    </row>
    <row r="159" spans="1:15" ht="28.8" x14ac:dyDescent="0.3">
      <c r="A159" s="12" t="s">
        <v>565</v>
      </c>
      <c r="B159" s="12" t="s">
        <v>531</v>
      </c>
      <c r="C159" s="11" t="s">
        <v>392</v>
      </c>
      <c r="D159" s="11" t="s">
        <v>393</v>
      </c>
      <c r="E159" s="11" t="s">
        <v>394</v>
      </c>
      <c r="F159" s="24"/>
      <c r="G159" s="13"/>
      <c r="H159" s="24"/>
      <c r="I159" s="13"/>
      <c r="J159" s="24"/>
      <c r="K159" s="13"/>
      <c r="L159" s="24"/>
      <c r="M159" s="13"/>
      <c r="N159" s="24"/>
      <c r="O159" s="13"/>
    </row>
    <row r="160" spans="1:15" ht="28.8" x14ac:dyDescent="0.3">
      <c r="A160" s="12" t="s">
        <v>565</v>
      </c>
      <c r="B160" s="12" t="s">
        <v>532</v>
      </c>
      <c r="C160" s="11" t="s">
        <v>392</v>
      </c>
      <c r="D160" s="11" t="s">
        <v>393</v>
      </c>
      <c r="E160" s="11" t="s">
        <v>394</v>
      </c>
      <c r="F160" s="24"/>
      <c r="G160" s="13"/>
      <c r="H160" s="24"/>
      <c r="I160" s="13"/>
      <c r="J160" s="24"/>
      <c r="K160" s="13"/>
      <c r="L160" s="24"/>
      <c r="M160" s="13"/>
      <c r="N160" s="24"/>
      <c r="O160" s="13"/>
    </row>
    <row r="161" spans="1:15" ht="28.8" x14ac:dyDescent="0.3">
      <c r="A161" s="12" t="s">
        <v>565</v>
      </c>
      <c r="B161" s="12" t="s">
        <v>516</v>
      </c>
      <c r="C161" s="11" t="s">
        <v>392</v>
      </c>
      <c r="D161" s="11" t="s">
        <v>393</v>
      </c>
      <c r="E161" s="11" t="s">
        <v>394</v>
      </c>
      <c r="F161" s="24"/>
      <c r="G161" s="13"/>
      <c r="H161" s="24"/>
      <c r="I161" s="13"/>
      <c r="J161" s="24"/>
      <c r="K161" s="13"/>
      <c r="L161" s="24"/>
      <c r="M161" s="13"/>
      <c r="N161" s="24"/>
      <c r="O161" s="13"/>
    </row>
    <row r="162" spans="1:15" ht="28.8" x14ac:dyDescent="0.3">
      <c r="A162" s="12" t="s">
        <v>533</v>
      </c>
      <c r="B162" s="12" t="s">
        <v>311</v>
      </c>
      <c r="C162" s="11" t="s">
        <v>392</v>
      </c>
      <c r="D162" s="11" t="s">
        <v>393</v>
      </c>
      <c r="E162" s="11" t="s">
        <v>394</v>
      </c>
      <c r="F162" s="24"/>
      <c r="G162" s="13"/>
      <c r="H162" s="24"/>
      <c r="I162" s="13"/>
      <c r="J162" s="24"/>
      <c r="K162" s="13"/>
      <c r="L162" s="24"/>
      <c r="M162" s="13"/>
      <c r="N162" s="24"/>
      <c r="O162" s="13"/>
    </row>
    <row r="163" spans="1:15" ht="28.8" x14ac:dyDescent="0.3">
      <c r="A163" s="12" t="s">
        <v>533</v>
      </c>
      <c r="B163" s="12" t="s">
        <v>411</v>
      </c>
      <c r="C163" s="11" t="s">
        <v>392</v>
      </c>
      <c r="D163" s="11" t="s">
        <v>393</v>
      </c>
      <c r="E163" s="11" t="s">
        <v>394</v>
      </c>
      <c r="F163" s="24"/>
      <c r="G163" s="13"/>
      <c r="H163" s="24"/>
      <c r="I163" s="13"/>
      <c r="J163" s="24"/>
      <c r="K163" s="13"/>
      <c r="L163" s="24"/>
      <c r="M163" s="13"/>
      <c r="N163" s="24"/>
      <c r="O163" s="13"/>
    </row>
    <row r="164" spans="1:15" ht="28.8" x14ac:dyDescent="0.3">
      <c r="A164" s="12" t="s">
        <v>533</v>
      </c>
      <c r="B164" s="12" t="s">
        <v>412</v>
      </c>
      <c r="C164" s="11" t="s">
        <v>392</v>
      </c>
      <c r="D164" s="11" t="s">
        <v>393</v>
      </c>
      <c r="E164" s="11" t="s">
        <v>394</v>
      </c>
      <c r="F164" s="24"/>
      <c r="G164" s="13"/>
      <c r="H164" s="24"/>
      <c r="I164" s="13"/>
      <c r="J164" s="24"/>
      <c r="K164" s="13"/>
      <c r="L164" s="24"/>
      <c r="M164" s="13"/>
      <c r="N164" s="24"/>
      <c r="O164" s="13"/>
    </row>
    <row r="165" spans="1:15" ht="28.8" x14ac:dyDescent="0.3">
      <c r="A165" s="12" t="s">
        <v>533</v>
      </c>
      <c r="B165" s="12" t="s">
        <v>413</v>
      </c>
      <c r="C165" s="11" t="s">
        <v>392</v>
      </c>
      <c r="D165" s="11" t="s">
        <v>393</v>
      </c>
      <c r="E165" s="11" t="s">
        <v>394</v>
      </c>
      <c r="F165" s="24"/>
      <c r="G165" s="13"/>
      <c r="H165" s="24"/>
      <c r="I165" s="13"/>
      <c r="J165" s="24"/>
      <c r="K165" s="13"/>
      <c r="L165" s="24"/>
      <c r="M165" s="13"/>
      <c r="N165" s="24"/>
      <c r="O165" s="13"/>
    </row>
    <row r="166" spans="1:15" ht="28.8" x14ac:dyDescent="0.3">
      <c r="A166" s="12" t="s">
        <v>533</v>
      </c>
      <c r="B166" s="12" t="s">
        <v>414</v>
      </c>
      <c r="C166" s="11" t="s">
        <v>392</v>
      </c>
      <c r="D166" s="11" t="s">
        <v>393</v>
      </c>
      <c r="E166" s="11" t="s">
        <v>394</v>
      </c>
      <c r="F166" s="24"/>
      <c r="G166" s="13"/>
      <c r="H166" s="24"/>
      <c r="I166" s="13"/>
      <c r="J166" s="24"/>
      <c r="K166" s="13"/>
      <c r="L166" s="24"/>
      <c r="M166" s="13"/>
      <c r="N166" s="24"/>
      <c r="O166" s="13"/>
    </row>
    <row r="167" spans="1:15" ht="28.8" x14ac:dyDescent="0.3">
      <c r="A167" s="12" t="s">
        <v>533</v>
      </c>
      <c r="B167" s="12" t="s">
        <v>415</v>
      </c>
      <c r="C167" s="11" t="s">
        <v>392</v>
      </c>
      <c r="D167" s="11" t="s">
        <v>393</v>
      </c>
      <c r="E167" s="11" t="s">
        <v>394</v>
      </c>
      <c r="F167" s="24"/>
      <c r="G167" s="13"/>
      <c r="H167" s="24"/>
      <c r="I167" s="13"/>
      <c r="J167" s="24"/>
      <c r="K167" s="13"/>
      <c r="L167" s="24"/>
      <c r="M167" s="13"/>
      <c r="N167" s="24"/>
      <c r="O167" s="13"/>
    </row>
    <row r="168" spans="1:15" ht="28.8" x14ac:dyDescent="0.3">
      <c r="A168" s="12" t="s">
        <v>533</v>
      </c>
      <c r="B168" s="12" t="s">
        <v>416</v>
      </c>
      <c r="C168" s="11" t="s">
        <v>392</v>
      </c>
      <c r="D168" s="11" t="s">
        <v>393</v>
      </c>
      <c r="E168" s="11" t="s">
        <v>394</v>
      </c>
      <c r="F168" s="24"/>
      <c r="G168" s="13"/>
      <c r="H168" s="24"/>
      <c r="I168" s="13"/>
      <c r="J168" s="24"/>
      <c r="K168" s="13"/>
      <c r="L168" s="24"/>
      <c r="M168" s="13"/>
      <c r="N168" s="24"/>
      <c r="O168" s="13"/>
    </row>
    <row r="169" spans="1:15" ht="28.8" x14ac:dyDescent="0.3">
      <c r="A169" s="12" t="s">
        <v>533</v>
      </c>
      <c r="B169" s="12" t="s">
        <v>417</v>
      </c>
      <c r="C169" s="11" t="s">
        <v>392</v>
      </c>
      <c r="D169" s="11" t="s">
        <v>393</v>
      </c>
      <c r="E169" s="11" t="s">
        <v>394</v>
      </c>
      <c r="F169" s="24"/>
      <c r="G169" s="13"/>
      <c r="H169" s="24"/>
      <c r="I169" s="13"/>
      <c r="J169" s="24"/>
      <c r="K169" s="13"/>
      <c r="L169" s="24"/>
      <c r="M169" s="13"/>
      <c r="N169" s="24"/>
      <c r="O169" s="13"/>
    </row>
    <row r="170" spans="1:15" ht="28.8" x14ac:dyDescent="0.3">
      <c r="A170" s="12" t="s">
        <v>533</v>
      </c>
      <c r="B170" s="12" t="s">
        <v>418</v>
      </c>
      <c r="C170" s="11" t="s">
        <v>392</v>
      </c>
      <c r="D170" s="11" t="s">
        <v>393</v>
      </c>
      <c r="E170" s="11" t="s">
        <v>394</v>
      </c>
      <c r="F170" s="24"/>
      <c r="G170" s="13"/>
      <c r="H170" s="24"/>
      <c r="I170" s="13"/>
      <c r="J170" s="24"/>
      <c r="K170" s="13"/>
      <c r="L170" s="24"/>
      <c r="M170" s="13"/>
      <c r="N170" s="24"/>
      <c r="O170" s="13"/>
    </row>
    <row r="171" spans="1:15" ht="28.8" x14ac:dyDescent="0.3">
      <c r="A171" s="12" t="s">
        <v>533</v>
      </c>
      <c r="B171" s="12" t="s">
        <v>419</v>
      </c>
      <c r="C171" s="11" t="s">
        <v>392</v>
      </c>
      <c r="D171" s="11" t="s">
        <v>393</v>
      </c>
      <c r="E171" s="11" t="s">
        <v>394</v>
      </c>
      <c r="F171" s="24"/>
      <c r="G171" s="13"/>
      <c r="H171" s="24"/>
      <c r="I171" s="13"/>
      <c r="J171" s="24"/>
      <c r="K171" s="13"/>
      <c r="L171" s="24"/>
      <c r="M171" s="13"/>
      <c r="N171" s="24"/>
      <c r="O171" s="13"/>
    </row>
    <row r="172" spans="1:15" ht="28.8" x14ac:dyDescent="0.3">
      <c r="A172" s="12" t="s">
        <v>533</v>
      </c>
      <c r="B172" s="12" t="s">
        <v>420</v>
      </c>
      <c r="C172" s="11" t="s">
        <v>392</v>
      </c>
      <c r="D172" s="11" t="s">
        <v>393</v>
      </c>
      <c r="E172" s="11" t="s">
        <v>394</v>
      </c>
      <c r="F172" s="24"/>
      <c r="G172" s="13"/>
      <c r="H172" s="24"/>
      <c r="I172" s="13"/>
      <c r="J172" s="24"/>
      <c r="K172" s="13"/>
      <c r="L172" s="24"/>
      <c r="M172" s="13"/>
      <c r="N172" s="24"/>
      <c r="O172" s="13"/>
    </row>
    <row r="173" spans="1:15" ht="28.8" x14ac:dyDescent="0.3">
      <c r="A173" s="12" t="s">
        <v>533</v>
      </c>
      <c r="B173" s="12" t="s">
        <v>421</v>
      </c>
      <c r="C173" s="11" t="s">
        <v>392</v>
      </c>
      <c r="D173" s="11" t="s">
        <v>393</v>
      </c>
      <c r="E173" s="11" t="s">
        <v>394</v>
      </c>
      <c r="F173" s="24"/>
      <c r="G173" s="13"/>
      <c r="H173" s="24"/>
      <c r="I173" s="13"/>
      <c r="J173" s="24"/>
      <c r="K173" s="13"/>
      <c r="L173" s="24"/>
      <c r="M173" s="13"/>
      <c r="N173" s="24"/>
      <c r="O173" s="13"/>
    </row>
    <row r="174" spans="1:15" ht="28.8" x14ac:dyDescent="0.3">
      <c r="A174" s="12" t="s">
        <v>533</v>
      </c>
      <c r="B174" s="12" t="s">
        <v>287</v>
      </c>
      <c r="C174" s="11" t="s">
        <v>392</v>
      </c>
      <c r="D174" s="11" t="s">
        <v>393</v>
      </c>
      <c r="E174" s="11" t="s">
        <v>394</v>
      </c>
      <c r="F174" s="24"/>
      <c r="G174" s="13"/>
      <c r="H174" s="24"/>
      <c r="I174" s="13"/>
      <c r="J174" s="24"/>
      <c r="K174" s="13"/>
      <c r="L174" s="24"/>
      <c r="M174" s="13"/>
      <c r="N174" s="24"/>
      <c r="O174" s="13"/>
    </row>
    <row r="175" spans="1:15" ht="28.8" x14ac:dyDescent="0.3">
      <c r="A175" s="12" t="s">
        <v>533</v>
      </c>
      <c r="B175" s="12" t="s">
        <v>422</v>
      </c>
      <c r="C175" s="11" t="s">
        <v>392</v>
      </c>
      <c r="D175" s="11" t="s">
        <v>393</v>
      </c>
      <c r="E175" s="11" t="s">
        <v>394</v>
      </c>
      <c r="F175" s="24"/>
      <c r="G175" s="13"/>
      <c r="H175" s="24"/>
      <c r="I175" s="13"/>
      <c r="J175" s="24"/>
      <c r="K175" s="13"/>
      <c r="L175" s="24"/>
      <c r="M175" s="13"/>
      <c r="N175" s="24"/>
      <c r="O175" s="13"/>
    </row>
    <row r="176" spans="1:15" ht="28.8" x14ac:dyDescent="0.3">
      <c r="A176" s="12" t="s">
        <v>533</v>
      </c>
      <c r="B176" s="12" t="s">
        <v>291</v>
      </c>
      <c r="C176" s="11" t="s">
        <v>392</v>
      </c>
      <c r="D176" s="11" t="s">
        <v>393</v>
      </c>
      <c r="E176" s="11" t="s">
        <v>394</v>
      </c>
      <c r="F176" s="24"/>
      <c r="G176" s="13"/>
      <c r="H176" s="24"/>
      <c r="I176" s="13"/>
      <c r="J176" s="24"/>
      <c r="K176" s="13"/>
      <c r="L176" s="24"/>
      <c r="M176" s="13"/>
      <c r="N176" s="24"/>
      <c r="O176" s="13"/>
    </row>
    <row r="177" spans="1:15" ht="28.8" x14ac:dyDescent="0.3">
      <c r="A177" s="12" t="s">
        <v>533</v>
      </c>
      <c r="B177" s="12" t="s">
        <v>284</v>
      </c>
      <c r="C177" s="11" t="s">
        <v>392</v>
      </c>
      <c r="D177" s="11" t="s">
        <v>393</v>
      </c>
      <c r="E177" s="11" t="s">
        <v>394</v>
      </c>
      <c r="F177" s="24"/>
      <c r="G177" s="13"/>
      <c r="H177" s="24"/>
      <c r="I177" s="13"/>
      <c r="J177" s="24"/>
      <c r="K177" s="13"/>
      <c r="L177" s="24"/>
      <c r="M177" s="13"/>
      <c r="N177" s="24"/>
      <c r="O177" s="13"/>
    </row>
    <row r="178" spans="1:15" ht="28.8" x14ac:dyDescent="0.3">
      <c r="A178" s="12" t="s">
        <v>533</v>
      </c>
      <c r="B178" s="12" t="s">
        <v>423</v>
      </c>
      <c r="C178" s="11" t="s">
        <v>392</v>
      </c>
      <c r="D178" s="11" t="s">
        <v>393</v>
      </c>
      <c r="E178" s="11" t="s">
        <v>394</v>
      </c>
      <c r="F178" s="24"/>
      <c r="G178" s="13"/>
      <c r="H178" s="24"/>
      <c r="I178" s="13"/>
      <c r="J178" s="24"/>
      <c r="K178" s="13"/>
      <c r="L178" s="24"/>
      <c r="M178" s="13"/>
      <c r="N178" s="24"/>
      <c r="O178" s="13"/>
    </row>
    <row r="179" spans="1:15" ht="28.8" x14ac:dyDescent="0.3">
      <c r="A179" s="12" t="s">
        <v>533</v>
      </c>
      <c r="B179" s="12" t="s">
        <v>424</v>
      </c>
      <c r="C179" s="11" t="s">
        <v>392</v>
      </c>
      <c r="D179" s="11" t="s">
        <v>393</v>
      </c>
      <c r="E179" s="11" t="s">
        <v>394</v>
      </c>
      <c r="F179" s="24"/>
      <c r="G179" s="13"/>
      <c r="H179" s="24"/>
      <c r="I179" s="13"/>
      <c r="J179" s="24"/>
      <c r="K179" s="13"/>
      <c r="L179" s="24"/>
      <c r="M179" s="13"/>
      <c r="N179" s="24"/>
      <c r="O179" s="13"/>
    </row>
    <row r="180" spans="1:15" ht="28.8" x14ac:dyDescent="0.3">
      <c r="A180" s="12" t="s">
        <v>533</v>
      </c>
      <c r="B180" s="12" t="s">
        <v>425</v>
      </c>
      <c r="C180" s="11" t="s">
        <v>392</v>
      </c>
      <c r="D180" s="11" t="s">
        <v>393</v>
      </c>
      <c r="E180" s="11" t="s">
        <v>394</v>
      </c>
      <c r="F180" s="24"/>
      <c r="G180" s="13"/>
      <c r="H180" s="24"/>
      <c r="I180" s="13"/>
      <c r="J180" s="24"/>
      <c r="K180" s="13"/>
      <c r="L180" s="24"/>
      <c r="M180" s="13"/>
      <c r="N180" s="24"/>
      <c r="O180" s="13"/>
    </row>
    <row r="181" spans="1:15" ht="28.8" x14ac:dyDescent="0.3">
      <c r="A181" s="12" t="s">
        <v>533</v>
      </c>
      <c r="B181" s="12" t="s">
        <v>426</v>
      </c>
      <c r="C181" s="11" t="s">
        <v>392</v>
      </c>
      <c r="D181" s="11" t="s">
        <v>393</v>
      </c>
      <c r="E181" s="11" t="s">
        <v>394</v>
      </c>
      <c r="F181" s="24"/>
      <c r="G181" s="13"/>
      <c r="H181" s="24"/>
      <c r="I181" s="13"/>
      <c r="J181" s="24"/>
      <c r="K181" s="13"/>
      <c r="L181" s="24"/>
      <c r="M181" s="13"/>
      <c r="N181" s="24"/>
      <c r="O181" s="13"/>
    </row>
    <row r="182" spans="1:15" ht="28.8" x14ac:dyDescent="0.3">
      <c r="A182" s="12" t="s">
        <v>533</v>
      </c>
      <c r="B182" s="12" t="s">
        <v>427</v>
      </c>
      <c r="C182" s="11" t="s">
        <v>392</v>
      </c>
      <c r="D182" s="11" t="s">
        <v>393</v>
      </c>
      <c r="E182" s="11" t="s">
        <v>394</v>
      </c>
      <c r="F182" s="24"/>
      <c r="G182" s="13"/>
      <c r="H182" s="24"/>
      <c r="I182" s="13"/>
      <c r="J182" s="24"/>
      <c r="K182" s="13"/>
      <c r="L182" s="24"/>
      <c r="M182" s="13"/>
      <c r="N182" s="24"/>
      <c r="O182" s="13"/>
    </row>
    <row r="183" spans="1:15" ht="28.8" x14ac:dyDescent="0.3">
      <c r="A183" s="12" t="s">
        <v>533</v>
      </c>
      <c r="B183" s="12" t="s">
        <v>428</v>
      </c>
      <c r="C183" s="11" t="s">
        <v>392</v>
      </c>
      <c r="D183" s="11" t="s">
        <v>393</v>
      </c>
      <c r="E183" s="11" t="s">
        <v>394</v>
      </c>
      <c r="F183" s="24"/>
      <c r="G183" s="13"/>
      <c r="H183" s="24"/>
      <c r="I183" s="13"/>
      <c r="J183" s="24"/>
      <c r="K183" s="13"/>
      <c r="L183" s="24"/>
      <c r="M183" s="13"/>
      <c r="N183" s="24"/>
      <c r="O183" s="13"/>
    </row>
    <row r="184" spans="1:15" ht="28.8" x14ac:dyDescent="0.3">
      <c r="A184" s="12" t="s">
        <v>533</v>
      </c>
      <c r="B184" s="12" t="s">
        <v>429</v>
      </c>
      <c r="C184" s="11" t="s">
        <v>392</v>
      </c>
      <c r="D184" s="11" t="s">
        <v>393</v>
      </c>
      <c r="E184" s="11" t="s">
        <v>394</v>
      </c>
      <c r="F184" s="24"/>
      <c r="G184" s="13"/>
      <c r="H184" s="24"/>
      <c r="I184" s="13"/>
      <c r="J184" s="24"/>
      <c r="K184" s="13"/>
      <c r="L184" s="24"/>
      <c r="M184" s="13"/>
      <c r="N184" s="24"/>
      <c r="O184" s="13"/>
    </row>
    <row r="185" spans="1:15" ht="28.8" x14ac:dyDescent="0.3">
      <c r="A185" s="12" t="s">
        <v>534</v>
      </c>
      <c r="B185" s="12" t="s">
        <v>430</v>
      </c>
      <c r="C185" s="11" t="s">
        <v>392</v>
      </c>
      <c r="D185" s="11" t="s">
        <v>393</v>
      </c>
      <c r="E185" s="11" t="s">
        <v>394</v>
      </c>
      <c r="F185" s="24"/>
      <c r="G185" s="13"/>
      <c r="H185" s="24"/>
      <c r="I185" s="13"/>
      <c r="J185" s="24"/>
      <c r="K185" s="13"/>
      <c r="L185" s="24"/>
      <c r="M185" s="13"/>
      <c r="N185" s="24"/>
      <c r="O185" s="13"/>
    </row>
    <row r="186" spans="1:15" ht="28.8" x14ac:dyDescent="0.3">
      <c r="A186" s="12" t="s">
        <v>534</v>
      </c>
      <c r="B186" s="12" t="s">
        <v>431</v>
      </c>
      <c r="C186" s="11" t="s">
        <v>392</v>
      </c>
      <c r="D186" s="11" t="s">
        <v>393</v>
      </c>
      <c r="E186" s="11" t="s">
        <v>394</v>
      </c>
      <c r="F186" s="24"/>
      <c r="G186" s="13"/>
      <c r="H186" s="24"/>
      <c r="I186" s="13"/>
      <c r="J186" s="24"/>
      <c r="K186" s="13"/>
      <c r="L186" s="24"/>
      <c r="M186" s="13"/>
      <c r="N186" s="24"/>
      <c r="O186" s="13"/>
    </row>
    <row r="187" spans="1:15" ht="28.8" x14ac:dyDescent="0.3">
      <c r="A187" s="12" t="s">
        <v>534</v>
      </c>
      <c r="B187" s="12" t="s">
        <v>432</v>
      </c>
      <c r="C187" s="11" t="s">
        <v>392</v>
      </c>
      <c r="D187" s="11" t="s">
        <v>393</v>
      </c>
      <c r="E187" s="11" t="s">
        <v>394</v>
      </c>
      <c r="F187" s="24"/>
      <c r="G187" s="13"/>
      <c r="H187" s="24"/>
      <c r="I187" s="13"/>
      <c r="J187" s="24"/>
      <c r="K187" s="13"/>
      <c r="L187" s="24"/>
      <c r="M187" s="13"/>
      <c r="N187" s="24"/>
      <c r="O187" s="13"/>
    </row>
    <row r="188" spans="1:15" ht="28.8" x14ac:dyDescent="0.3">
      <c r="A188" s="12" t="s">
        <v>534</v>
      </c>
      <c r="B188" s="12" t="s">
        <v>433</v>
      </c>
      <c r="C188" s="11" t="s">
        <v>392</v>
      </c>
      <c r="D188" s="11" t="s">
        <v>393</v>
      </c>
      <c r="E188" s="11" t="s">
        <v>394</v>
      </c>
      <c r="F188" s="24"/>
      <c r="G188" s="13"/>
      <c r="H188" s="24"/>
      <c r="I188" s="13"/>
      <c r="J188" s="24"/>
      <c r="K188" s="13"/>
      <c r="L188" s="24"/>
      <c r="M188" s="13"/>
      <c r="N188" s="24"/>
      <c r="O188" s="13"/>
    </row>
    <row r="189" spans="1:15" ht="28.8" x14ac:dyDescent="0.3">
      <c r="A189" s="12" t="s">
        <v>534</v>
      </c>
      <c r="B189" s="12" t="s">
        <v>434</v>
      </c>
      <c r="C189" s="11" t="s">
        <v>392</v>
      </c>
      <c r="D189" s="11" t="s">
        <v>393</v>
      </c>
      <c r="E189" s="11" t="s">
        <v>394</v>
      </c>
      <c r="F189" s="24"/>
      <c r="G189" s="13"/>
      <c r="H189" s="24"/>
      <c r="I189" s="13"/>
      <c r="J189" s="24"/>
      <c r="K189" s="13"/>
      <c r="L189" s="24"/>
      <c r="M189" s="13"/>
      <c r="N189" s="24"/>
      <c r="O189" s="13"/>
    </row>
    <row r="190" spans="1:15" ht="28.8" x14ac:dyDescent="0.3">
      <c r="A190" s="12" t="s">
        <v>534</v>
      </c>
      <c r="B190" s="12" t="s">
        <v>435</v>
      </c>
      <c r="C190" s="11" t="s">
        <v>392</v>
      </c>
      <c r="D190" s="11" t="s">
        <v>393</v>
      </c>
      <c r="E190" s="11" t="s">
        <v>394</v>
      </c>
      <c r="F190" s="24"/>
      <c r="G190" s="13"/>
      <c r="H190" s="24"/>
      <c r="I190" s="13"/>
      <c r="J190" s="24"/>
      <c r="K190" s="13"/>
      <c r="L190" s="24"/>
      <c r="M190" s="13"/>
      <c r="N190" s="24"/>
      <c r="O190" s="13"/>
    </row>
    <row r="191" spans="1:15" ht="28.8" x14ac:dyDescent="0.3">
      <c r="A191" s="12" t="s">
        <v>534</v>
      </c>
      <c r="B191" s="12" t="s">
        <v>436</v>
      </c>
      <c r="C191" s="11" t="s">
        <v>392</v>
      </c>
      <c r="D191" s="11" t="s">
        <v>393</v>
      </c>
      <c r="E191" s="11" t="s">
        <v>394</v>
      </c>
      <c r="F191" s="24"/>
      <c r="G191" s="13"/>
      <c r="H191" s="24"/>
      <c r="I191" s="13"/>
      <c r="J191" s="24"/>
      <c r="K191" s="13"/>
      <c r="L191" s="24"/>
      <c r="M191" s="13"/>
      <c r="N191" s="24"/>
      <c r="O191" s="13"/>
    </row>
    <row r="192" spans="1:15" ht="28.8" x14ac:dyDescent="0.3">
      <c r="A192" s="12" t="s">
        <v>534</v>
      </c>
      <c r="B192" s="12" t="s">
        <v>437</v>
      </c>
      <c r="C192" s="11" t="s">
        <v>392</v>
      </c>
      <c r="D192" s="11" t="s">
        <v>393</v>
      </c>
      <c r="E192" s="11" t="s">
        <v>394</v>
      </c>
      <c r="F192" s="24"/>
      <c r="G192" s="13"/>
      <c r="H192" s="24"/>
      <c r="I192" s="13"/>
      <c r="J192" s="24"/>
      <c r="K192" s="13"/>
      <c r="L192" s="24"/>
      <c r="M192" s="13"/>
      <c r="N192" s="24"/>
      <c r="O192" s="13"/>
    </row>
    <row r="193" spans="1:15" ht="28.8" x14ac:dyDescent="0.3">
      <c r="A193" s="12" t="s">
        <v>534</v>
      </c>
      <c r="B193" s="12" t="s">
        <v>438</v>
      </c>
      <c r="C193" s="11" t="s">
        <v>392</v>
      </c>
      <c r="D193" s="11" t="s">
        <v>393</v>
      </c>
      <c r="E193" s="11" t="s">
        <v>394</v>
      </c>
      <c r="F193" s="24"/>
      <c r="G193" s="13"/>
      <c r="H193" s="24"/>
      <c r="I193" s="13"/>
      <c r="J193" s="24"/>
      <c r="K193" s="13"/>
      <c r="L193" s="24"/>
      <c r="M193" s="13"/>
      <c r="N193" s="24"/>
      <c r="O193" s="13"/>
    </row>
    <row r="194" spans="1:15" ht="28.8" x14ac:dyDescent="0.3">
      <c r="A194" s="12" t="s">
        <v>534</v>
      </c>
      <c r="B194" s="12" t="s">
        <v>439</v>
      </c>
      <c r="C194" s="11" t="s">
        <v>392</v>
      </c>
      <c r="D194" s="11" t="s">
        <v>393</v>
      </c>
      <c r="E194" s="11" t="s">
        <v>394</v>
      </c>
      <c r="F194" s="24"/>
      <c r="G194" s="13"/>
      <c r="H194" s="24"/>
      <c r="I194" s="13"/>
      <c r="J194" s="24"/>
      <c r="K194" s="13"/>
      <c r="L194" s="24"/>
      <c r="M194" s="13"/>
      <c r="N194" s="24"/>
      <c r="O194" s="13"/>
    </row>
    <row r="195" spans="1:15" ht="28.8" x14ac:dyDescent="0.3">
      <c r="A195" s="12" t="s">
        <v>534</v>
      </c>
      <c r="B195" s="12" t="s">
        <v>440</v>
      </c>
      <c r="C195" s="11" t="s">
        <v>392</v>
      </c>
      <c r="D195" s="11" t="s">
        <v>393</v>
      </c>
      <c r="E195" s="11" t="s">
        <v>394</v>
      </c>
      <c r="F195" s="24"/>
      <c r="G195" s="13"/>
      <c r="H195" s="24"/>
      <c r="I195" s="13"/>
      <c r="J195" s="24"/>
      <c r="K195" s="13"/>
      <c r="L195" s="24"/>
      <c r="M195" s="13"/>
      <c r="N195" s="24"/>
      <c r="O195" s="13"/>
    </row>
    <row r="196" spans="1:15" ht="28.8" x14ac:dyDescent="0.3">
      <c r="A196" s="12" t="s">
        <v>534</v>
      </c>
      <c r="B196" s="12" t="s">
        <v>441</v>
      </c>
      <c r="C196" s="11" t="s">
        <v>392</v>
      </c>
      <c r="D196" s="11" t="s">
        <v>393</v>
      </c>
      <c r="E196" s="11" t="s">
        <v>394</v>
      </c>
      <c r="F196" s="24"/>
      <c r="G196" s="13"/>
      <c r="H196" s="24"/>
      <c r="I196" s="13"/>
      <c r="J196" s="24"/>
      <c r="K196" s="13"/>
      <c r="L196" s="24"/>
      <c r="M196" s="13"/>
      <c r="N196" s="24"/>
      <c r="O196" s="13"/>
    </row>
    <row r="197" spans="1:15" ht="28.8" x14ac:dyDescent="0.3">
      <c r="A197" s="12" t="s">
        <v>156</v>
      </c>
      <c r="B197" s="12" t="s">
        <v>442</v>
      </c>
      <c r="C197" s="11" t="s">
        <v>392</v>
      </c>
      <c r="D197" s="11" t="s">
        <v>393</v>
      </c>
      <c r="E197" s="11" t="s">
        <v>394</v>
      </c>
      <c r="F197" s="24"/>
      <c r="G197" s="13"/>
      <c r="H197" s="24"/>
      <c r="I197" s="13"/>
      <c r="J197" s="24"/>
      <c r="K197" s="13"/>
      <c r="L197" s="24"/>
      <c r="M197" s="13"/>
      <c r="N197" s="24"/>
      <c r="O197" s="13"/>
    </row>
    <row r="198" spans="1:15" ht="28.8" x14ac:dyDescent="0.3">
      <c r="A198" s="12" t="s">
        <v>156</v>
      </c>
      <c r="B198" s="12" t="s">
        <v>443</v>
      </c>
      <c r="C198" s="11" t="s">
        <v>392</v>
      </c>
      <c r="D198" s="11" t="s">
        <v>393</v>
      </c>
      <c r="E198" s="11" t="s">
        <v>394</v>
      </c>
      <c r="F198" s="24"/>
      <c r="G198" s="13"/>
      <c r="H198" s="24"/>
      <c r="I198" s="13"/>
      <c r="J198" s="24"/>
      <c r="K198" s="13"/>
      <c r="L198" s="24"/>
      <c r="M198" s="13"/>
      <c r="N198" s="24"/>
      <c r="O198" s="13"/>
    </row>
    <row r="199" spans="1:15" ht="28.8" x14ac:dyDescent="0.3">
      <c r="A199" s="12" t="s">
        <v>156</v>
      </c>
      <c r="B199" s="12" t="s">
        <v>444</v>
      </c>
      <c r="C199" s="11" t="s">
        <v>392</v>
      </c>
      <c r="D199" s="11" t="s">
        <v>393</v>
      </c>
      <c r="E199" s="11" t="s">
        <v>394</v>
      </c>
      <c r="F199" s="24"/>
      <c r="G199" s="13"/>
      <c r="H199" s="24"/>
      <c r="I199" s="13"/>
      <c r="J199" s="24"/>
      <c r="K199" s="13"/>
      <c r="L199" s="24"/>
      <c r="M199" s="13"/>
      <c r="N199" s="24"/>
      <c r="O199" s="13"/>
    </row>
    <row r="200" spans="1:15" ht="28.8" x14ac:dyDescent="0.3">
      <c r="A200" s="12" t="s">
        <v>156</v>
      </c>
      <c r="B200" s="12" t="s">
        <v>445</v>
      </c>
      <c r="C200" s="11" t="s">
        <v>392</v>
      </c>
      <c r="D200" s="11" t="s">
        <v>393</v>
      </c>
      <c r="E200" s="11" t="s">
        <v>394</v>
      </c>
      <c r="F200" s="24"/>
      <c r="G200" s="13"/>
      <c r="H200" s="24"/>
      <c r="I200" s="13"/>
      <c r="J200" s="24"/>
      <c r="K200" s="13"/>
      <c r="L200" s="24"/>
      <c r="M200" s="13"/>
      <c r="N200" s="24"/>
      <c r="O200" s="13"/>
    </row>
    <row r="201" spans="1:15" ht="28.8" x14ac:dyDescent="0.3">
      <c r="A201" s="12" t="s">
        <v>156</v>
      </c>
      <c r="B201" s="12" t="s">
        <v>446</v>
      </c>
      <c r="C201" s="11" t="s">
        <v>392</v>
      </c>
      <c r="D201" s="11" t="s">
        <v>393</v>
      </c>
      <c r="E201" s="11" t="s">
        <v>394</v>
      </c>
      <c r="F201" s="24"/>
      <c r="G201" s="13"/>
      <c r="H201" s="24"/>
      <c r="I201" s="13"/>
      <c r="J201" s="24"/>
      <c r="K201" s="13"/>
      <c r="L201" s="24"/>
      <c r="M201" s="13"/>
      <c r="N201" s="24"/>
      <c r="O201" s="13"/>
    </row>
    <row r="202" spans="1:15" ht="28.8" x14ac:dyDescent="0.3">
      <c r="A202" s="12" t="s">
        <v>156</v>
      </c>
      <c r="B202" s="12" t="s">
        <v>447</v>
      </c>
      <c r="C202" s="11" t="s">
        <v>392</v>
      </c>
      <c r="D202" s="11" t="s">
        <v>393</v>
      </c>
      <c r="E202" s="11" t="s">
        <v>394</v>
      </c>
      <c r="F202" s="24"/>
      <c r="G202" s="13"/>
      <c r="H202" s="24"/>
      <c r="I202" s="13"/>
      <c r="J202" s="24"/>
      <c r="K202" s="13"/>
      <c r="L202" s="24"/>
      <c r="M202" s="13"/>
      <c r="N202" s="24"/>
      <c r="O202" s="13"/>
    </row>
    <row r="203" spans="1:15" ht="28.8" x14ac:dyDescent="0.3">
      <c r="A203" s="12" t="s">
        <v>156</v>
      </c>
      <c r="B203" s="12" t="s">
        <v>448</v>
      </c>
      <c r="C203" s="11" t="s">
        <v>392</v>
      </c>
      <c r="D203" s="11" t="s">
        <v>393</v>
      </c>
      <c r="E203" s="11" t="s">
        <v>394</v>
      </c>
      <c r="F203" s="24"/>
      <c r="G203" s="13"/>
      <c r="H203" s="24"/>
      <c r="I203" s="13"/>
      <c r="J203" s="24"/>
      <c r="K203" s="13"/>
      <c r="L203" s="24"/>
      <c r="M203" s="13"/>
      <c r="N203" s="24"/>
      <c r="O203" s="13"/>
    </row>
    <row r="204" spans="1:15" ht="28.8" x14ac:dyDescent="0.3">
      <c r="A204" s="12" t="s">
        <v>156</v>
      </c>
      <c r="B204" s="12" t="s">
        <v>449</v>
      </c>
      <c r="C204" s="11" t="s">
        <v>392</v>
      </c>
      <c r="D204" s="11" t="s">
        <v>393</v>
      </c>
      <c r="E204" s="11" t="s">
        <v>394</v>
      </c>
      <c r="F204" s="24"/>
      <c r="G204" s="13"/>
      <c r="H204" s="24"/>
      <c r="I204" s="13"/>
      <c r="J204" s="24"/>
      <c r="K204" s="13"/>
      <c r="L204" s="24"/>
      <c r="M204" s="13"/>
      <c r="N204" s="24"/>
      <c r="O204" s="13"/>
    </row>
    <row r="205" spans="1:15" ht="28.8" x14ac:dyDescent="0.3">
      <c r="A205" s="12" t="s">
        <v>156</v>
      </c>
      <c r="B205" s="12" t="s">
        <v>450</v>
      </c>
      <c r="C205" s="11" t="s">
        <v>392</v>
      </c>
      <c r="D205" s="11" t="s">
        <v>393</v>
      </c>
      <c r="E205" s="11" t="s">
        <v>394</v>
      </c>
      <c r="F205" s="24"/>
      <c r="G205" s="13"/>
      <c r="H205" s="24"/>
      <c r="I205" s="13"/>
      <c r="J205" s="24"/>
      <c r="K205" s="13"/>
      <c r="L205" s="24"/>
      <c r="M205" s="13"/>
      <c r="N205" s="24"/>
      <c r="O205" s="13"/>
    </row>
    <row r="206" spans="1:15" ht="28.8" x14ac:dyDescent="0.3">
      <c r="A206" s="12" t="s">
        <v>156</v>
      </c>
      <c r="B206" s="12" t="s">
        <v>451</v>
      </c>
      <c r="C206" s="11" t="s">
        <v>392</v>
      </c>
      <c r="D206" s="11" t="s">
        <v>393</v>
      </c>
      <c r="E206" s="11" t="s">
        <v>394</v>
      </c>
      <c r="F206" s="24"/>
      <c r="G206" s="13"/>
      <c r="H206" s="24"/>
      <c r="I206" s="13"/>
      <c r="J206" s="24"/>
      <c r="K206" s="13"/>
      <c r="L206" s="24"/>
      <c r="M206" s="13"/>
      <c r="N206" s="24"/>
      <c r="O206" s="13"/>
    </row>
    <row r="207" spans="1:15" ht="43.2" x14ac:dyDescent="0.3">
      <c r="A207" s="12" t="s">
        <v>156</v>
      </c>
      <c r="B207" s="12" t="s">
        <v>452</v>
      </c>
      <c r="C207" s="11" t="s">
        <v>392</v>
      </c>
      <c r="D207" s="11" t="s">
        <v>393</v>
      </c>
      <c r="E207" s="11" t="s">
        <v>394</v>
      </c>
      <c r="F207" s="24"/>
      <c r="G207" s="13"/>
      <c r="H207" s="24"/>
      <c r="I207" s="13"/>
      <c r="J207" s="24"/>
      <c r="K207" s="13"/>
      <c r="L207" s="24"/>
      <c r="M207" s="13"/>
      <c r="N207" s="24"/>
      <c r="O207" s="13"/>
    </row>
    <row r="208" spans="1:15" ht="28.8" x14ac:dyDescent="0.3">
      <c r="A208" s="12" t="s">
        <v>156</v>
      </c>
      <c r="B208" s="12" t="s">
        <v>453</v>
      </c>
      <c r="C208" s="11" t="s">
        <v>392</v>
      </c>
      <c r="D208" s="11" t="s">
        <v>393</v>
      </c>
      <c r="E208" s="11" t="s">
        <v>394</v>
      </c>
      <c r="F208" s="24"/>
      <c r="G208" s="13"/>
      <c r="H208" s="24"/>
      <c r="I208" s="13"/>
      <c r="J208" s="24"/>
      <c r="K208" s="13"/>
      <c r="L208" s="24"/>
      <c r="M208" s="13"/>
      <c r="N208" s="24"/>
      <c r="O208" s="13"/>
    </row>
    <row r="209" spans="1:15" ht="43.2" x14ac:dyDescent="0.3">
      <c r="A209" s="12" t="s">
        <v>156</v>
      </c>
      <c r="B209" s="12" t="s">
        <v>454</v>
      </c>
      <c r="C209" s="11" t="s">
        <v>392</v>
      </c>
      <c r="D209" s="11" t="s">
        <v>393</v>
      </c>
      <c r="E209" s="11" t="s">
        <v>394</v>
      </c>
      <c r="F209" s="24"/>
      <c r="G209" s="13"/>
      <c r="H209" s="24"/>
      <c r="I209" s="13"/>
      <c r="J209" s="24"/>
      <c r="K209" s="13"/>
      <c r="L209" s="24"/>
      <c r="M209" s="13"/>
      <c r="N209" s="24"/>
      <c r="O209" s="13"/>
    </row>
    <row r="210" spans="1:15" ht="28.8" x14ac:dyDescent="0.3">
      <c r="A210" s="12" t="s">
        <v>156</v>
      </c>
      <c r="B210" s="12" t="s">
        <v>455</v>
      </c>
      <c r="C210" s="11" t="s">
        <v>392</v>
      </c>
      <c r="D210" s="11" t="s">
        <v>393</v>
      </c>
      <c r="E210" s="11" t="s">
        <v>394</v>
      </c>
      <c r="F210" s="24"/>
      <c r="G210" s="13"/>
      <c r="H210" s="24"/>
      <c r="I210" s="13"/>
      <c r="J210" s="24"/>
      <c r="K210" s="13"/>
      <c r="L210" s="24"/>
      <c r="M210" s="13"/>
      <c r="N210" s="24"/>
      <c r="O210" s="13"/>
    </row>
    <row r="211" spans="1:15" ht="28.8" x14ac:dyDescent="0.3">
      <c r="A211" s="12" t="s">
        <v>156</v>
      </c>
      <c r="B211" s="12" t="s">
        <v>456</v>
      </c>
      <c r="C211" s="11" t="s">
        <v>392</v>
      </c>
      <c r="D211" s="11" t="s">
        <v>393</v>
      </c>
      <c r="E211" s="11" t="s">
        <v>394</v>
      </c>
      <c r="F211" s="24"/>
      <c r="G211" s="13"/>
      <c r="H211" s="24"/>
      <c r="I211" s="13"/>
      <c r="J211" s="24"/>
      <c r="K211" s="13"/>
      <c r="L211" s="24"/>
      <c r="M211" s="13"/>
      <c r="N211" s="24"/>
      <c r="O211" s="13"/>
    </row>
    <row r="212" spans="1:15" ht="43.2" x14ac:dyDescent="0.3">
      <c r="A212" s="12" t="s">
        <v>156</v>
      </c>
      <c r="B212" s="12" t="s">
        <v>457</v>
      </c>
      <c r="C212" s="11" t="s">
        <v>392</v>
      </c>
      <c r="D212" s="11" t="s">
        <v>393</v>
      </c>
      <c r="E212" s="11" t="s">
        <v>394</v>
      </c>
      <c r="F212" s="24"/>
      <c r="G212" s="13"/>
      <c r="H212" s="24"/>
      <c r="I212" s="13"/>
      <c r="J212" s="24"/>
      <c r="K212" s="13"/>
      <c r="L212" s="24"/>
      <c r="M212" s="13"/>
      <c r="N212" s="24"/>
      <c r="O212" s="13"/>
    </row>
    <row r="213" spans="1:15" ht="28.8" x14ac:dyDescent="0.3">
      <c r="A213" s="12" t="s">
        <v>156</v>
      </c>
      <c r="B213" s="12" t="s">
        <v>458</v>
      </c>
      <c r="C213" s="11" t="s">
        <v>392</v>
      </c>
      <c r="D213" s="11" t="s">
        <v>393</v>
      </c>
      <c r="E213" s="11" t="s">
        <v>394</v>
      </c>
      <c r="F213" s="24"/>
      <c r="G213" s="13"/>
      <c r="H213" s="24"/>
      <c r="I213" s="13"/>
      <c r="J213" s="24"/>
      <c r="K213" s="13"/>
      <c r="L213" s="24"/>
      <c r="M213" s="13"/>
      <c r="N213" s="24"/>
      <c r="O213" s="13"/>
    </row>
    <row r="214" spans="1:15" ht="28.8" x14ac:dyDescent="0.3">
      <c r="A214" s="12" t="s">
        <v>156</v>
      </c>
      <c r="B214" s="12" t="s">
        <v>459</v>
      </c>
      <c r="C214" s="11" t="s">
        <v>392</v>
      </c>
      <c r="D214" s="11" t="s">
        <v>393</v>
      </c>
      <c r="E214" s="11" t="s">
        <v>394</v>
      </c>
      <c r="F214" s="24"/>
      <c r="G214" s="13"/>
      <c r="H214" s="24"/>
      <c r="I214" s="13"/>
      <c r="J214" s="24"/>
      <c r="K214" s="13"/>
      <c r="L214" s="24"/>
      <c r="M214" s="13"/>
      <c r="N214" s="24"/>
      <c r="O214" s="13"/>
    </row>
    <row r="215" spans="1:15" ht="43.2" x14ac:dyDescent="0.3">
      <c r="A215" s="12" t="s">
        <v>535</v>
      </c>
      <c r="B215" s="12" t="s">
        <v>460</v>
      </c>
      <c r="C215" s="11" t="s">
        <v>392</v>
      </c>
      <c r="D215" s="11" t="s">
        <v>393</v>
      </c>
      <c r="E215" s="11" t="s">
        <v>394</v>
      </c>
      <c r="F215" s="24"/>
      <c r="G215" s="13"/>
      <c r="H215" s="24"/>
      <c r="I215" s="13"/>
      <c r="J215" s="24"/>
      <c r="K215" s="13"/>
      <c r="L215" s="24"/>
      <c r="M215" s="13"/>
      <c r="N215" s="24"/>
      <c r="O215" s="13"/>
    </row>
    <row r="216" spans="1:15" ht="72" x14ac:dyDescent="0.3">
      <c r="A216" s="12" t="s">
        <v>535</v>
      </c>
      <c r="B216" s="12" t="s">
        <v>461</v>
      </c>
      <c r="C216" s="11" t="s">
        <v>392</v>
      </c>
      <c r="D216" s="11" t="s">
        <v>393</v>
      </c>
      <c r="E216" s="11" t="s">
        <v>394</v>
      </c>
      <c r="F216" s="24"/>
      <c r="G216" s="13"/>
      <c r="H216" s="24"/>
      <c r="I216" s="13"/>
      <c r="J216" s="24"/>
      <c r="K216" s="13"/>
      <c r="L216" s="24"/>
      <c r="M216" s="13"/>
      <c r="N216" s="24"/>
      <c r="O216" s="13"/>
    </row>
    <row r="217" spans="1:15" ht="43.2" x14ac:dyDescent="0.3">
      <c r="A217" s="12" t="s">
        <v>535</v>
      </c>
      <c r="B217" s="12" t="s">
        <v>462</v>
      </c>
      <c r="C217" s="11" t="s">
        <v>392</v>
      </c>
      <c r="D217" s="11" t="s">
        <v>393</v>
      </c>
      <c r="E217" s="11" t="s">
        <v>394</v>
      </c>
      <c r="F217" s="24"/>
      <c r="G217" s="13"/>
      <c r="H217" s="24"/>
      <c r="I217" s="13"/>
      <c r="J217" s="24"/>
      <c r="K217" s="13"/>
      <c r="L217" s="24"/>
      <c r="M217" s="13"/>
      <c r="N217" s="24"/>
      <c r="O217" s="13"/>
    </row>
    <row r="218" spans="1:15" ht="57.6" x14ac:dyDescent="0.3">
      <c r="A218" s="12" t="s">
        <v>535</v>
      </c>
      <c r="B218" s="12" t="s">
        <v>463</v>
      </c>
      <c r="C218" s="11" t="s">
        <v>392</v>
      </c>
      <c r="D218" s="11" t="s">
        <v>393</v>
      </c>
      <c r="E218" s="11" t="s">
        <v>394</v>
      </c>
      <c r="F218" s="24"/>
      <c r="G218" s="13"/>
      <c r="H218" s="24"/>
      <c r="I218" s="13"/>
      <c r="J218" s="24"/>
      <c r="K218" s="13"/>
      <c r="L218" s="24"/>
      <c r="M218" s="13"/>
      <c r="N218" s="24"/>
      <c r="O218" s="13"/>
    </row>
    <row r="219" spans="1:15" ht="57.6" x14ac:dyDescent="0.3">
      <c r="A219" s="12" t="s">
        <v>535</v>
      </c>
      <c r="B219" s="12" t="s">
        <v>464</v>
      </c>
      <c r="C219" s="11" t="s">
        <v>392</v>
      </c>
      <c r="D219" s="11" t="s">
        <v>393</v>
      </c>
      <c r="E219" s="11" t="s">
        <v>394</v>
      </c>
      <c r="F219" s="24"/>
      <c r="G219" s="13"/>
      <c r="H219" s="24"/>
      <c r="I219" s="13"/>
      <c r="J219" s="24"/>
      <c r="K219" s="13"/>
      <c r="L219" s="24"/>
      <c r="M219" s="13"/>
      <c r="N219" s="24"/>
      <c r="O219" s="13"/>
    </row>
    <row r="220" spans="1:15" ht="129.6" x14ac:dyDescent="0.3">
      <c r="A220" s="12" t="s">
        <v>535</v>
      </c>
      <c r="B220" s="12" t="s">
        <v>465</v>
      </c>
      <c r="C220" s="11" t="s">
        <v>392</v>
      </c>
      <c r="D220" s="11" t="s">
        <v>393</v>
      </c>
      <c r="E220" s="11" t="s">
        <v>394</v>
      </c>
      <c r="F220" s="24"/>
      <c r="G220" s="13"/>
      <c r="H220" s="24"/>
      <c r="I220" s="13"/>
      <c r="J220" s="24"/>
      <c r="K220" s="13"/>
      <c r="L220" s="24"/>
      <c r="M220" s="13"/>
      <c r="N220" s="24"/>
      <c r="O220" s="13"/>
    </row>
    <row r="221" spans="1:15" ht="86.4" x14ac:dyDescent="0.3">
      <c r="A221" s="12" t="s">
        <v>535</v>
      </c>
      <c r="B221" s="12" t="s">
        <v>466</v>
      </c>
      <c r="C221" s="11" t="s">
        <v>392</v>
      </c>
      <c r="D221" s="11" t="s">
        <v>393</v>
      </c>
      <c r="E221" s="11" t="s">
        <v>394</v>
      </c>
      <c r="F221" s="24"/>
      <c r="G221" s="13"/>
      <c r="H221" s="24"/>
      <c r="I221" s="13"/>
      <c r="J221" s="24"/>
      <c r="K221" s="13"/>
      <c r="L221" s="24"/>
      <c r="M221" s="13"/>
      <c r="N221" s="24"/>
      <c r="O221" s="13"/>
    </row>
    <row r="222" spans="1:15" ht="72" x14ac:dyDescent="0.3">
      <c r="A222" s="12" t="s">
        <v>535</v>
      </c>
      <c r="B222" s="12" t="s">
        <v>467</v>
      </c>
      <c r="C222" s="11" t="s">
        <v>392</v>
      </c>
      <c r="D222" s="11" t="s">
        <v>393</v>
      </c>
      <c r="E222" s="11" t="s">
        <v>394</v>
      </c>
      <c r="F222" s="24"/>
      <c r="G222" s="13"/>
      <c r="H222" s="24"/>
      <c r="I222" s="13"/>
      <c r="J222" s="24"/>
      <c r="K222" s="13"/>
      <c r="L222" s="24"/>
      <c r="M222" s="13"/>
      <c r="N222" s="24"/>
      <c r="O222" s="13"/>
    </row>
    <row r="223" spans="1:15" ht="57.6" x14ac:dyDescent="0.3">
      <c r="A223" s="12" t="s">
        <v>535</v>
      </c>
      <c r="B223" s="12" t="s">
        <v>468</v>
      </c>
      <c r="C223" s="11" t="s">
        <v>392</v>
      </c>
      <c r="D223" s="11" t="s">
        <v>393</v>
      </c>
      <c r="E223" s="11" t="s">
        <v>394</v>
      </c>
      <c r="F223" s="24"/>
      <c r="G223" s="13"/>
      <c r="H223" s="24"/>
      <c r="I223" s="13"/>
      <c r="J223" s="24"/>
      <c r="K223" s="13"/>
      <c r="L223" s="24"/>
      <c r="M223" s="13"/>
      <c r="N223" s="24"/>
      <c r="O223" s="13"/>
    </row>
    <row r="224" spans="1:15" ht="57.6" x14ac:dyDescent="0.3">
      <c r="A224" s="12" t="s">
        <v>535</v>
      </c>
      <c r="B224" s="12" t="s">
        <v>469</v>
      </c>
      <c r="C224" s="11" t="s">
        <v>392</v>
      </c>
      <c r="D224" s="11" t="s">
        <v>393</v>
      </c>
      <c r="E224" s="11" t="s">
        <v>394</v>
      </c>
      <c r="F224" s="24"/>
      <c r="G224" s="13"/>
      <c r="H224" s="24"/>
      <c r="I224" s="13"/>
      <c r="J224" s="24"/>
      <c r="K224" s="13"/>
      <c r="L224" s="24"/>
      <c r="M224" s="13"/>
      <c r="N224" s="24"/>
      <c r="O224" s="13"/>
    </row>
    <row r="225" spans="1:15" ht="43.2" x14ac:dyDescent="0.3">
      <c r="A225" s="12" t="s">
        <v>535</v>
      </c>
      <c r="B225" s="12" t="s">
        <v>470</v>
      </c>
      <c r="C225" s="11" t="s">
        <v>392</v>
      </c>
      <c r="D225" s="11" t="s">
        <v>393</v>
      </c>
      <c r="E225" s="11" t="s">
        <v>394</v>
      </c>
      <c r="F225" s="24"/>
      <c r="G225" s="13"/>
      <c r="H225" s="24"/>
      <c r="I225" s="13"/>
      <c r="J225" s="24"/>
      <c r="K225" s="13"/>
      <c r="L225" s="24"/>
      <c r="M225" s="13"/>
      <c r="N225" s="24"/>
      <c r="O225" s="13"/>
    </row>
    <row r="226" spans="1:15" ht="86.4" x14ac:dyDescent="0.3">
      <c r="A226" s="12" t="s">
        <v>535</v>
      </c>
      <c r="B226" s="12" t="s">
        <v>471</v>
      </c>
      <c r="C226" s="11" t="s">
        <v>392</v>
      </c>
      <c r="D226" s="11" t="s">
        <v>393</v>
      </c>
      <c r="E226" s="11" t="s">
        <v>394</v>
      </c>
      <c r="F226" s="24"/>
      <c r="G226" s="13"/>
      <c r="H226" s="24"/>
      <c r="I226" s="13"/>
      <c r="J226" s="24"/>
      <c r="K226" s="13"/>
      <c r="L226" s="24"/>
      <c r="M226" s="13"/>
      <c r="N226" s="24"/>
      <c r="O226" s="13"/>
    </row>
    <row r="227" spans="1:15" ht="57.6" x14ac:dyDescent="0.3">
      <c r="A227" s="12" t="s">
        <v>535</v>
      </c>
      <c r="B227" s="12" t="s">
        <v>472</v>
      </c>
      <c r="C227" s="11" t="s">
        <v>392</v>
      </c>
      <c r="D227" s="11" t="s">
        <v>393</v>
      </c>
      <c r="E227" s="11" t="s">
        <v>394</v>
      </c>
      <c r="F227" s="24"/>
      <c r="G227" s="13"/>
      <c r="H227" s="24"/>
      <c r="I227" s="13"/>
      <c r="J227" s="24"/>
      <c r="K227" s="13"/>
      <c r="L227" s="24"/>
      <c r="M227" s="13"/>
      <c r="N227" s="24"/>
      <c r="O227" s="13"/>
    </row>
    <row r="228" spans="1:15" ht="43.2" x14ac:dyDescent="0.3">
      <c r="A228" s="12" t="s">
        <v>535</v>
      </c>
      <c r="B228" s="12" t="s">
        <v>473</v>
      </c>
      <c r="C228" s="11" t="s">
        <v>392</v>
      </c>
      <c r="D228" s="11" t="s">
        <v>393</v>
      </c>
      <c r="E228" s="11" t="s">
        <v>394</v>
      </c>
      <c r="F228" s="24"/>
      <c r="G228" s="13"/>
      <c r="H228" s="24"/>
      <c r="I228" s="13"/>
      <c r="J228" s="24"/>
      <c r="K228" s="13"/>
      <c r="L228" s="24"/>
      <c r="M228" s="13"/>
      <c r="N228" s="24"/>
      <c r="O228" s="13"/>
    </row>
    <row r="229" spans="1:15" ht="43.2" x14ac:dyDescent="0.3">
      <c r="A229" s="12" t="s">
        <v>535</v>
      </c>
      <c r="B229" s="12" t="s">
        <v>474</v>
      </c>
      <c r="C229" s="11" t="s">
        <v>392</v>
      </c>
      <c r="D229" s="11" t="s">
        <v>393</v>
      </c>
      <c r="E229" s="11" t="s">
        <v>394</v>
      </c>
      <c r="F229" s="24"/>
      <c r="G229" s="13"/>
      <c r="H229" s="24"/>
      <c r="I229" s="13"/>
      <c r="J229" s="24"/>
      <c r="K229" s="13"/>
      <c r="L229" s="24"/>
      <c r="M229" s="13"/>
      <c r="N229" s="24"/>
      <c r="O229" s="13"/>
    </row>
    <row r="230" spans="1:15" ht="28.8" x14ac:dyDescent="0.3">
      <c r="A230" s="12" t="s">
        <v>535</v>
      </c>
      <c r="B230" s="12" t="s">
        <v>475</v>
      </c>
      <c r="C230" s="11" t="s">
        <v>392</v>
      </c>
      <c r="D230" s="11" t="s">
        <v>393</v>
      </c>
      <c r="E230" s="11" t="s">
        <v>394</v>
      </c>
      <c r="F230" s="24"/>
      <c r="G230" s="13"/>
      <c r="H230" s="24"/>
      <c r="I230" s="13"/>
      <c r="J230" s="24"/>
      <c r="K230" s="13"/>
      <c r="L230" s="24"/>
      <c r="M230" s="13"/>
      <c r="N230" s="24"/>
      <c r="O230" s="13"/>
    </row>
    <row r="231" spans="1:15" ht="28.8" x14ac:dyDescent="0.3">
      <c r="A231" s="12" t="s">
        <v>535</v>
      </c>
      <c r="B231" s="12" t="s">
        <v>476</v>
      </c>
      <c r="C231" s="11" t="s">
        <v>392</v>
      </c>
      <c r="D231" s="11" t="s">
        <v>393</v>
      </c>
      <c r="E231" s="11" t="s">
        <v>394</v>
      </c>
      <c r="F231" s="24"/>
      <c r="G231" s="13"/>
      <c r="H231" s="24"/>
      <c r="I231" s="13"/>
      <c r="J231" s="24"/>
      <c r="K231" s="13"/>
      <c r="L231" s="24"/>
      <c r="M231" s="13"/>
      <c r="N231" s="24"/>
      <c r="O231" s="13"/>
    </row>
    <row r="232" spans="1:15" ht="43.2" x14ac:dyDescent="0.3">
      <c r="A232" s="12" t="s">
        <v>535</v>
      </c>
      <c r="B232" s="12" t="s">
        <v>477</v>
      </c>
      <c r="C232" s="11" t="s">
        <v>392</v>
      </c>
      <c r="D232" s="11" t="s">
        <v>393</v>
      </c>
      <c r="E232" s="11" t="s">
        <v>394</v>
      </c>
      <c r="F232" s="24"/>
      <c r="G232" s="13"/>
      <c r="H232" s="24"/>
      <c r="I232" s="13"/>
      <c r="J232" s="24"/>
      <c r="K232" s="13"/>
      <c r="L232" s="24"/>
      <c r="M232" s="13"/>
      <c r="N232" s="24"/>
      <c r="O232" s="13"/>
    </row>
    <row r="233" spans="1:15" ht="43.2" x14ac:dyDescent="0.3">
      <c r="A233" s="12" t="s">
        <v>535</v>
      </c>
      <c r="B233" s="12" t="s">
        <v>478</v>
      </c>
      <c r="C233" s="11" t="s">
        <v>392</v>
      </c>
      <c r="D233" s="11" t="s">
        <v>393</v>
      </c>
      <c r="E233" s="11" t="s">
        <v>394</v>
      </c>
      <c r="F233" s="24"/>
      <c r="G233" s="13"/>
      <c r="H233" s="24"/>
      <c r="I233" s="13"/>
      <c r="J233" s="24"/>
      <c r="K233" s="13"/>
      <c r="L233" s="24"/>
      <c r="M233" s="13"/>
      <c r="N233" s="24"/>
      <c r="O233" s="13"/>
    </row>
    <row r="234" spans="1:15" ht="43.2" x14ac:dyDescent="0.3">
      <c r="A234" s="12" t="s">
        <v>535</v>
      </c>
      <c r="B234" s="12" t="s">
        <v>479</v>
      </c>
      <c r="C234" s="11" t="s">
        <v>392</v>
      </c>
      <c r="D234" s="11" t="s">
        <v>393</v>
      </c>
      <c r="E234" s="11" t="s">
        <v>394</v>
      </c>
      <c r="F234" s="24"/>
      <c r="G234" s="13"/>
      <c r="H234" s="24"/>
      <c r="I234" s="13"/>
      <c r="J234" s="24"/>
      <c r="K234" s="13"/>
      <c r="L234" s="24"/>
      <c r="M234" s="13"/>
      <c r="N234" s="24"/>
      <c r="O234" s="13"/>
    </row>
    <row r="235" spans="1:15" ht="28.8" x14ac:dyDescent="0.3">
      <c r="A235" s="12" t="s">
        <v>480</v>
      </c>
      <c r="B235" s="12" t="s">
        <v>540</v>
      </c>
      <c r="C235" s="11" t="s">
        <v>507</v>
      </c>
      <c r="D235" s="11" t="s">
        <v>508</v>
      </c>
      <c r="E235" s="11" t="s">
        <v>509</v>
      </c>
      <c r="F235" s="24"/>
      <c r="G235" s="13"/>
      <c r="H235" s="24"/>
      <c r="I235" s="13"/>
      <c r="J235" s="24"/>
      <c r="K235" s="13"/>
      <c r="L235" s="24"/>
      <c r="M235" s="13"/>
      <c r="N235" s="24"/>
      <c r="O235" s="13"/>
    </row>
    <row r="236" spans="1:15" ht="28.8" x14ac:dyDescent="0.3">
      <c r="A236" s="12" t="s">
        <v>480</v>
      </c>
      <c r="B236" s="12" t="s">
        <v>481</v>
      </c>
      <c r="C236" s="11" t="s">
        <v>507</v>
      </c>
      <c r="D236" s="11" t="s">
        <v>508</v>
      </c>
      <c r="E236" s="11" t="s">
        <v>509</v>
      </c>
      <c r="F236" s="24"/>
      <c r="G236" s="13"/>
      <c r="H236" s="24"/>
      <c r="I236" s="13"/>
      <c r="J236" s="24"/>
      <c r="K236" s="13"/>
      <c r="L236" s="24"/>
      <c r="M236" s="13"/>
      <c r="N236" s="24"/>
      <c r="O236" s="13"/>
    </row>
    <row r="237" spans="1:15" ht="28.8" x14ac:dyDescent="0.3">
      <c r="A237" s="12" t="s">
        <v>480</v>
      </c>
      <c r="B237" s="12" t="s">
        <v>482</v>
      </c>
      <c r="C237" s="11" t="s">
        <v>507</v>
      </c>
      <c r="D237" s="11" t="s">
        <v>508</v>
      </c>
      <c r="E237" s="11" t="s">
        <v>509</v>
      </c>
      <c r="F237" s="24"/>
      <c r="G237" s="13"/>
      <c r="H237" s="24"/>
      <c r="I237" s="13"/>
      <c r="J237" s="24"/>
      <c r="K237" s="13"/>
      <c r="L237" s="24"/>
      <c r="M237" s="13"/>
      <c r="N237" s="24"/>
      <c r="O237" s="13"/>
    </row>
    <row r="238" spans="1:15" ht="43.2" x14ac:dyDescent="0.3">
      <c r="A238" s="12" t="s">
        <v>480</v>
      </c>
      <c r="B238" s="12" t="s">
        <v>483</v>
      </c>
      <c r="C238" s="11" t="s">
        <v>507</v>
      </c>
      <c r="D238" s="11" t="s">
        <v>508</v>
      </c>
      <c r="E238" s="11" t="s">
        <v>509</v>
      </c>
      <c r="F238" s="24"/>
      <c r="G238" s="13"/>
      <c r="H238" s="24"/>
      <c r="I238" s="13"/>
      <c r="J238" s="24"/>
      <c r="K238" s="13"/>
      <c r="L238" s="24"/>
      <c r="M238" s="13"/>
      <c r="N238" s="24"/>
      <c r="O238" s="13"/>
    </row>
    <row r="239" spans="1:15" ht="28.8" x14ac:dyDescent="0.3">
      <c r="A239" s="12" t="s">
        <v>480</v>
      </c>
      <c r="B239" s="12" t="s">
        <v>484</v>
      </c>
      <c r="C239" s="11" t="s">
        <v>507</v>
      </c>
      <c r="D239" s="11" t="s">
        <v>508</v>
      </c>
      <c r="E239" s="11" t="s">
        <v>509</v>
      </c>
      <c r="F239" s="24"/>
      <c r="G239" s="13"/>
      <c r="H239" s="24"/>
      <c r="I239" s="13"/>
      <c r="J239" s="24"/>
      <c r="K239" s="13"/>
      <c r="L239" s="24"/>
      <c r="M239" s="13"/>
      <c r="N239" s="24"/>
      <c r="O239" s="13"/>
    </row>
    <row r="240" spans="1:15" ht="43.2" x14ac:dyDescent="0.3">
      <c r="A240" s="12" t="s">
        <v>480</v>
      </c>
      <c r="B240" s="12" t="s">
        <v>566</v>
      </c>
      <c r="C240" s="11" t="s">
        <v>507</v>
      </c>
      <c r="D240" s="11" t="s">
        <v>508</v>
      </c>
      <c r="E240" s="11" t="s">
        <v>509</v>
      </c>
      <c r="F240" s="24"/>
      <c r="G240" s="13"/>
      <c r="H240" s="24"/>
      <c r="I240" s="13"/>
      <c r="J240" s="24"/>
      <c r="K240" s="13"/>
      <c r="L240" s="24"/>
      <c r="M240" s="13"/>
      <c r="N240" s="24"/>
      <c r="O240" s="13"/>
    </row>
    <row r="241" spans="1:15" ht="28.8" x14ac:dyDescent="0.3">
      <c r="A241" s="12" t="s">
        <v>480</v>
      </c>
      <c r="B241" s="12" t="s">
        <v>539</v>
      </c>
      <c r="C241" s="11" t="s">
        <v>507</v>
      </c>
      <c r="D241" s="11" t="s">
        <v>508</v>
      </c>
      <c r="E241" s="11" t="s">
        <v>509</v>
      </c>
      <c r="F241" s="24"/>
      <c r="G241" s="13"/>
      <c r="H241" s="24"/>
      <c r="I241" s="13"/>
      <c r="J241" s="24"/>
      <c r="K241" s="13"/>
      <c r="L241" s="24"/>
      <c r="M241" s="13"/>
      <c r="N241" s="24"/>
      <c r="O241" s="13"/>
    </row>
    <row r="242" spans="1:15" ht="43.2" x14ac:dyDescent="0.3">
      <c r="A242" s="12" t="s">
        <v>480</v>
      </c>
      <c r="B242" s="12" t="s">
        <v>485</v>
      </c>
      <c r="C242" s="11" t="s">
        <v>507</v>
      </c>
      <c r="D242" s="11" t="s">
        <v>508</v>
      </c>
      <c r="E242" s="11" t="s">
        <v>509</v>
      </c>
      <c r="F242" s="24"/>
      <c r="G242" s="13"/>
      <c r="H242" s="24"/>
      <c r="I242" s="13"/>
      <c r="J242" s="24"/>
      <c r="K242" s="13"/>
      <c r="L242" s="24"/>
      <c r="M242" s="13"/>
      <c r="N242" s="24"/>
      <c r="O242" s="13"/>
    </row>
    <row r="243" spans="1:15" ht="28.8" x14ac:dyDescent="0.3">
      <c r="A243" s="12" t="s">
        <v>480</v>
      </c>
      <c r="B243" s="12" t="s">
        <v>538</v>
      </c>
      <c r="C243" s="11" t="s">
        <v>486</v>
      </c>
      <c r="D243" s="11" t="s">
        <v>487</v>
      </c>
      <c r="E243" s="11" t="s">
        <v>488</v>
      </c>
      <c r="F243" s="24"/>
      <c r="G243" s="13"/>
      <c r="H243" s="24"/>
      <c r="I243" s="13"/>
      <c r="J243" s="24"/>
      <c r="K243" s="13"/>
      <c r="L243" s="24"/>
      <c r="M243" s="13"/>
      <c r="N243" s="24"/>
      <c r="O243" s="13"/>
    </row>
    <row r="244" spans="1:15" ht="28.8" x14ac:dyDescent="0.3">
      <c r="A244" s="12" t="s">
        <v>480</v>
      </c>
      <c r="B244" s="12" t="s">
        <v>489</v>
      </c>
      <c r="C244" s="11" t="s">
        <v>507</v>
      </c>
      <c r="D244" s="11" t="s">
        <v>508</v>
      </c>
      <c r="E244" s="11" t="s">
        <v>509</v>
      </c>
      <c r="F244" s="24"/>
      <c r="G244" s="13"/>
      <c r="H244" s="24"/>
      <c r="I244" s="13"/>
      <c r="J244" s="24"/>
      <c r="K244" s="13"/>
      <c r="L244" s="24"/>
      <c r="M244" s="13"/>
      <c r="N244" s="24"/>
      <c r="O244" s="13"/>
    </row>
    <row r="245" spans="1:15" ht="28.8" x14ac:dyDescent="0.3">
      <c r="A245" s="12" t="s">
        <v>480</v>
      </c>
      <c r="B245" s="12" t="s">
        <v>490</v>
      </c>
      <c r="C245" s="11" t="s">
        <v>507</v>
      </c>
      <c r="D245" s="11" t="s">
        <v>508</v>
      </c>
      <c r="E245" s="11" t="s">
        <v>509</v>
      </c>
      <c r="F245" s="24"/>
      <c r="G245" s="13"/>
      <c r="H245" s="24"/>
      <c r="I245" s="13"/>
      <c r="J245" s="24"/>
      <c r="K245" s="13"/>
      <c r="L245" s="24"/>
      <c r="M245" s="13"/>
      <c r="N245" s="24"/>
      <c r="O245" s="13"/>
    </row>
    <row r="246" spans="1:15" ht="28.8" x14ac:dyDescent="0.3">
      <c r="A246" s="12" t="s">
        <v>480</v>
      </c>
      <c r="B246" s="12" t="s">
        <v>491</v>
      </c>
      <c r="C246" s="11" t="s">
        <v>507</v>
      </c>
      <c r="D246" s="11" t="s">
        <v>508</v>
      </c>
      <c r="E246" s="11" t="s">
        <v>509</v>
      </c>
      <c r="F246" s="24"/>
      <c r="G246" s="13"/>
      <c r="H246" s="24"/>
      <c r="I246" s="13"/>
      <c r="J246" s="24"/>
      <c r="K246" s="13"/>
      <c r="L246" s="24"/>
      <c r="M246" s="13"/>
      <c r="N246" s="24"/>
      <c r="O246" s="13"/>
    </row>
    <row r="247" spans="1:15" x14ac:dyDescent="0.3">
      <c r="A247" s="12" t="s">
        <v>480</v>
      </c>
      <c r="B247" s="12" t="s">
        <v>492</v>
      </c>
      <c r="C247" s="11" t="s">
        <v>507</v>
      </c>
      <c r="D247" s="11" t="s">
        <v>508</v>
      </c>
      <c r="E247" s="11" t="s">
        <v>509</v>
      </c>
      <c r="F247" s="24"/>
      <c r="G247" s="13"/>
      <c r="H247" s="24"/>
      <c r="I247" s="13"/>
      <c r="J247" s="24"/>
      <c r="K247" s="13"/>
      <c r="L247" s="24"/>
      <c r="M247" s="13"/>
      <c r="N247" s="24"/>
      <c r="O247" s="13"/>
    </row>
    <row r="248" spans="1:15" ht="43.2" x14ac:dyDescent="0.3">
      <c r="A248" s="12" t="s">
        <v>480</v>
      </c>
      <c r="B248" s="12" t="s">
        <v>493</v>
      </c>
      <c r="C248" s="11" t="s">
        <v>507</v>
      </c>
      <c r="D248" s="11" t="s">
        <v>508</v>
      </c>
      <c r="E248" s="11" t="s">
        <v>509</v>
      </c>
      <c r="F248" s="24"/>
      <c r="G248" s="13"/>
      <c r="H248" s="24"/>
      <c r="I248" s="13"/>
      <c r="J248" s="24"/>
      <c r="K248" s="13"/>
      <c r="L248" s="24"/>
      <c r="M248" s="13"/>
      <c r="N248" s="24"/>
      <c r="O248" s="13"/>
    </row>
    <row r="249" spans="1:15" ht="28.8" x14ac:dyDescent="0.3">
      <c r="A249" s="12" t="s">
        <v>480</v>
      </c>
      <c r="B249" s="12" t="s">
        <v>494</v>
      </c>
      <c r="C249" s="11" t="s">
        <v>507</v>
      </c>
      <c r="D249" s="11" t="s">
        <v>508</v>
      </c>
      <c r="E249" s="11" t="s">
        <v>509</v>
      </c>
      <c r="F249" s="24"/>
      <c r="G249" s="13"/>
      <c r="H249" s="24"/>
      <c r="I249" s="13"/>
      <c r="J249" s="24"/>
      <c r="K249" s="13"/>
      <c r="L249" s="24"/>
      <c r="M249" s="13"/>
      <c r="N249" s="24"/>
      <c r="O249" s="13"/>
    </row>
    <row r="250" spans="1:15" ht="28.8" x14ac:dyDescent="0.3">
      <c r="A250" s="12" t="s">
        <v>480</v>
      </c>
      <c r="B250" s="12" t="s">
        <v>495</v>
      </c>
      <c r="C250" s="11" t="s">
        <v>507</v>
      </c>
      <c r="D250" s="11" t="s">
        <v>508</v>
      </c>
      <c r="E250" s="11" t="s">
        <v>509</v>
      </c>
      <c r="F250" s="24"/>
      <c r="G250" s="13"/>
      <c r="H250" s="24"/>
      <c r="I250" s="13"/>
      <c r="J250" s="24"/>
      <c r="K250" s="13"/>
      <c r="L250" s="24"/>
      <c r="M250" s="13"/>
      <c r="N250" s="24"/>
      <c r="O250" s="13"/>
    </row>
    <row r="251" spans="1:15" ht="28.8" x14ac:dyDescent="0.3">
      <c r="A251" s="12" t="s">
        <v>480</v>
      </c>
      <c r="B251" s="12" t="s">
        <v>496</v>
      </c>
      <c r="C251" s="11" t="s">
        <v>507</v>
      </c>
      <c r="D251" s="11" t="s">
        <v>508</v>
      </c>
      <c r="E251" s="11" t="s">
        <v>509</v>
      </c>
      <c r="F251" s="24"/>
      <c r="G251" s="13"/>
      <c r="H251" s="24"/>
      <c r="I251" s="13"/>
      <c r="J251" s="24"/>
      <c r="K251" s="13"/>
      <c r="L251" s="24"/>
      <c r="M251" s="13"/>
      <c r="N251" s="24"/>
      <c r="O251" s="13"/>
    </row>
    <row r="252" spans="1:15" ht="43.2" x14ac:dyDescent="0.3">
      <c r="A252" s="12" t="s">
        <v>480</v>
      </c>
      <c r="B252" s="12" t="s">
        <v>497</v>
      </c>
      <c r="C252" s="11" t="s">
        <v>507</v>
      </c>
      <c r="D252" s="11" t="s">
        <v>508</v>
      </c>
      <c r="E252" s="11" t="s">
        <v>509</v>
      </c>
      <c r="F252" s="24"/>
      <c r="G252" s="13"/>
      <c r="H252" s="24"/>
      <c r="I252" s="13"/>
      <c r="J252" s="24"/>
      <c r="K252" s="13"/>
      <c r="L252" s="24"/>
      <c r="M252" s="13"/>
      <c r="N252" s="24"/>
      <c r="O252" s="13"/>
    </row>
    <row r="253" spans="1:15" ht="28.8" x14ac:dyDescent="0.3">
      <c r="A253" s="12" t="s">
        <v>480</v>
      </c>
      <c r="B253" s="12" t="s">
        <v>498</v>
      </c>
      <c r="C253" s="11" t="s">
        <v>507</v>
      </c>
      <c r="D253" s="11" t="s">
        <v>508</v>
      </c>
      <c r="E253" s="11" t="s">
        <v>509</v>
      </c>
      <c r="F253" s="24"/>
      <c r="G253" s="13"/>
      <c r="H253" s="24"/>
      <c r="I253" s="13"/>
      <c r="J253" s="24"/>
      <c r="K253" s="13"/>
      <c r="L253" s="24"/>
      <c r="M253" s="13"/>
      <c r="N253" s="24"/>
      <c r="O253" s="13"/>
    </row>
    <row r="254" spans="1:15" ht="43.2" x14ac:dyDescent="0.3">
      <c r="A254" s="12" t="s">
        <v>480</v>
      </c>
      <c r="B254" s="12" t="s">
        <v>499</v>
      </c>
      <c r="C254" s="11" t="s">
        <v>507</v>
      </c>
      <c r="D254" s="11" t="s">
        <v>508</v>
      </c>
      <c r="E254" s="11" t="s">
        <v>509</v>
      </c>
      <c r="F254" s="24"/>
      <c r="G254" s="13"/>
      <c r="H254" s="24"/>
      <c r="I254" s="13"/>
      <c r="J254" s="24"/>
      <c r="K254" s="13"/>
      <c r="L254" s="24"/>
      <c r="M254" s="13"/>
      <c r="N254" s="24"/>
      <c r="O254" s="13"/>
    </row>
    <row r="255" spans="1:15" ht="57.6" x14ac:dyDescent="0.3">
      <c r="A255" s="12" t="s">
        <v>480</v>
      </c>
      <c r="B255" s="12" t="s">
        <v>500</v>
      </c>
      <c r="C255" s="11" t="s">
        <v>507</v>
      </c>
      <c r="D255" s="11" t="s">
        <v>508</v>
      </c>
      <c r="E255" s="11" t="s">
        <v>509</v>
      </c>
      <c r="F255" s="24"/>
      <c r="G255" s="13"/>
      <c r="H255" s="24"/>
      <c r="I255" s="13"/>
      <c r="J255" s="24"/>
      <c r="K255" s="13"/>
      <c r="L255" s="24"/>
      <c r="M255" s="13"/>
      <c r="N255" s="24"/>
      <c r="O255" s="13"/>
    </row>
    <row r="256" spans="1:15" ht="43.2" x14ac:dyDescent="0.3">
      <c r="A256" s="12" t="s">
        <v>480</v>
      </c>
      <c r="B256" s="12" t="s">
        <v>501</v>
      </c>
      <c r="C256" s="11" t="s">
        <v>507</v>
      </c>
      <c r="D256" s="11" t="s">
        <v>508</v>
      </c>
      <c r="E256" s="11" t="s">
        <v>509</v>
      </c>
      <c r="F256" s="24"/>
      <c r="G256" s="13"/>
      <c r="H256" s="24"/>
      <c r="I256" s="13"/>
      <c r="J256" s="24"/>
      <c r="K256" s="13"/>
      <c r="L256" s="24"/>
      <c r="M256" s="13"/>
      <c r="N256" s="24"/>
      <c r="O256" s="13"/>
    </row>
    <row r="257" spans="1:15" ht="28.8" x14ac:dyDescent="0.3">
      <c r="A257" s="12" t="s">
        <v>480</v>
      </c>
      <c r="B257" s="12" t="s">
        <v>502</v>
      </c>
      <c r="C257" s="11" t="s">
        <v>507</v>
      </c>
      <c r="D257" s="11" t="s">
        <v>508</v>
      </c>
      <c r="E257" s="11" t="s">
        <v>509</v>
      </c>
      <c r="F257" s="24"/>
      <c r="G257" s="13"/>
      <c r="H257" s="24"/>
      <c r="I257" s="13"/>
      <c r="J257" s="24"/>
      <c r="K257" s="13"/>
      <c r="L257" s="24"/>
      <c r="M257" s="13"/>
      <c r="N257" s="24"/>
      <c r="O257" s="13"/>
    </row>
    <row r="258" spans="1:15" ht="28.8" x14ac:dyDescent="0.3">
      <c r="A258" s="12" t="s">
        <v>480</v>
      </c>
      <c r="B258" s="12" t="s">
        <v>503</v>
      </c>
      <c r="C258" s="11" t="s">
        <v>507</v>
      </c>
      <c r="D258" s="11" t="s">
        <v>508</v>
      </c>
      <c r="E258" s="11" t="s">
        <v>509</v>
      </c>
      <c r="F258" s="24"/>
      <c r="G258" s="13"/>
      <c r="H258" s="24"/>
      <c r="I258" s="13"/>
      <c r="J258" s="24"/>
      <c r="K258" s="13"/>
      <c r="L258" s="24"/>
      <c r="M258" s="13"/>
      <c r="N258" s="24"/>
      <c r="O258" s="13"/>
    </row>
    <row r="259" spans="1:15" ht="43.2" x14ac:dyDescent="0.3">
      <c r="A259" s="12" t="s">
        <v>480</v>
      </c>
      <c r="B259" s="12" t="s">
        <v>504</v>
      </c>
      <c r="C259" s="11" t="s">
        <v>507</v>
      </c>
      <c r="D259" s="11" t="s">
        <v>508</v>
      </c>
      <c r="E259" s="11" t="s">
        <v>509</v>
      </c>
      <c r="F259" s="24"/>
      <c r="G259" s="13"/>
      <c r="H259" s="24"/>
      <c r="I259" s="13"/>
      <c r="J259" s="24"/>
      <c r="K259" s="13"/>
      <c r="L259" s="24"/>
      <c r="M259" s="13"/>
      <c r="N259" s="24"/>
      <c r="O259" s="13"/>
    </row>
    <row r="260" spans="1:15" ht="28.8" x14ac:dyDescent="0.3">
      <c r="A260" s="12" t="s">
        <v>480</v>
      </c>
      <c r="B260" s="12" t="s">
        <v>505</v>
      </c>
      <c r="C260" s="11" t="s">
        <v>507</v>
      </c>
      <c r="D260" s="11" t="s">
        <v>508</v>
      </c>
      <c r="E260" s="11" t="s">
        <v>509</v>
      </c>
      <c r="F260" s="24"/>
      <c r="G260" s="13"/>
      <c r="H260" s="24"/>
      <c r="I260" s="13"/>
      <c r="J260" s="24"/>
      <c r="K260" s="13"/>
      <c r="L260" s="24"/>
      <c r="M260" s="13"/>
      <c r="N260" s="24"/>
      <c r="O260" s="13"/>
    </row>
    <row r="261" spans="1:15" ht="28.8" x14ac:dyDescent="0.3">
      <c r="A261" s="12" t="s">
        <v>480</v>
      </c>
      <c r="B261" s="12" t="s">
        <v>506</v>
      </c>
      <c r="C261" s="11" t="s">
        <v>507</v>
      </c>
      <c r="D261" s="11" t="s">
        <v>508</v>
      </c>
      <c r="E261" s="11" t="s">
        <v>509</v>
      </c>
      <c r="F261" s="24"/>
      <c r="G261" s="13"/>
      <c r="H261" s="24"/>
      <c r="I261" s="13"/>
      <c r="J261" s="24"/>
      <c r="K261" s="13"/>
      <c r="L261" s="24"/>
      <c r="M261" s="13"/>
      <c r="N261" s="24"/>
      <c r="O261" s="13"/>
    </row>
    <row r="262" spans="1:15" ht="28.8" x14ac:dyDescent="0.3">
      <c r="A262" s="12" t="s">
        <v>155</v>
      </c>
      <c r="B262" s="12" t="s">
        <v>541</v>
      </c>
      <c r="C262" s="11" t="s">
        <v>507</v>
      </c>
      <c r="D262" s="11"/>
      <c r="E262" s="11" t="s">
        <v>509</v>
      </c>
      <c r="F262" s="25"/>
      <c r="G262" s="13"/>
      <c r="H262" s="25"/>
      <c r="I262" s="13"/>
      <c r="J262" s="25"/>
      <c r="K262" s="13"/>
      <c r="L262" s="25"/>
      <c r="M262" s="13"/>
      <c r="N262" s="25"/>
      <c r="O262" s="13"/>
    </row>
    <row r="263" spans="1:15" ht="28.8" x14ac:dyDescent="0.3">
      <c r="A263" s="12" t="s">
        <v>155</v>
      </c>
      <c r="B263" s="12" t="s">
        <v>542</v>
      </c>
      <c r="C263" s="11" t="s">
        <v>507</v>
      </c>
      <c r="D263" s="11"/>
      <c r="E263" s="11" t="s">
        <v>509</v>
      </c>
      <c r="F263" s="25"/>
      <c r="G263" s="13"/>
      <c r="H263" s="25"/>
      <c r="I263" s="13"/>
      <c r="J263" s="25"/>
      <c r="K263" s="13"/>
      <c r="L263" s="25"/>
      <c r="M263" s="13"/>
      <c r="N263" s="25"/>
      <c r="O263" s="13"/>
    </row>
    <row r="264" spans="1:15" ht="28.8" x14ac:dyDescent="0.3">
      <c r="A264" s="12" t="s">
        <v>155</v>
      </c>
      <c r="B264" s="12" t="s">
        <v>510</v>
      </c>
      <c r="C264" s="11" t="s">
        <v>507</v>
      </c>
      <c r="D264" s="11"/>
      <c r="E264" s="11" t="s">
        <v>509</v>
      </c>
      <c r="F264" s="25"/>
      <c r="G264" s="13"/>
      <c r="H264" s="25"/>
      <c r="I264" s="13"/>
      <c r="J264" s="25"/>
      <c r="K264" s="13"/>
      <c r="L264" s="25"/>
      <c r="M264" s="13"/>
      <c r="N264" s="25"/>
      <c r="O264" s="13"/>
    </row>
    <row r="265" spans="1:15" ht="28.8" x14ac:dyDescent="0.3">
      <c r="A265" s="12" t="s">
        <v>155</v>
      </c>
      <c r="B265" s="12" t="s">
        <v>543</v>
      </c>
      <c r="C265" s="11" t="s">
        <v>507</v>
      </c>
      <c r="D265" s="11"/>
      <c r="E265" s="11" t="s">
        <v>509</v>
      </c>
      <c r="F265" s="25"/>
      <c r="G265" s="13"/>
      <c r="H265" s="25"/>
      <c r="I265" s="13"/>
      <c r="J265" s="25"/>
      <c r="K265" s="13"/>
      <c r="L265" s="25"/>
      <c r="M265" s="13"/>
      <c r="N265" s="25"/>
      <c r="O265" s="13"/>
    </row>
    <row r="266" spans="1:15" ht="28.8" x14ac:dyDescent="0.3">
      <c r="A266" s="12" t="s">
        <v>155</v>
      </c>
      <c r="B266" s="12" t="s">
        <v>544</v>
      </c>
      <c r="C266" s="11" t="s">
        <v>507</v>
      </c>
      <c r="D266" s="11"/>
      <c r="E266" s="11" t="s">
        <v>509</v>
      </c>
      <c r="F266" s="25"/>
      <c r="G266" s="13"/>
      <c r="H266" s="25"/>
      <c r="I266" s="13"/>
      <c r="J266" s="25"/>
      <c r="K266" s="13"/>
      <c r="L266" s="25"/>
      <c r="M266" s="13"/>
      <c r="N266" s="25"/>
      <c r="O266" s="13"/>
    </row>
    <row r="267" spans="1:15" ht="28.8" x14ac:dyDescent="0.3">
      <c r="A267" s="12" t="s">
        <v>155</v>
      </c>
      <c r="B267" s="12" t="s">
        <v>511</v>
      </c>
      <c r="C267" s="11" t="s">
        <v>507</v>
      </c>
      <c r="D267" s="11"/>
      <c r="E267" s="11" t="s">
        <v>509</v>
      </c>
      <c r="F267" s="25"/>
      <c r="G267" s="13"/>
      <c r="H267" s="25"/>
      <c r="I267" s="13"/>
      <c r="J267" s="25"/>
      <c r="K267" s="13"/>
      <c r="L267" s="25"/>
      <c r="M267" s="13"/>
      <c r="N267" s="25"/>
      <c r="O267" s="13"/>
    </row>
    <row r="268" spans="1:15" x14ac:dyDescent="0.3">
      <c r="A268" s="12" t="s">
        <v>155</v>
      </c>
      <c r="B268" s="12" t="s">
        <v>512</v>
      </c>
      <c r="C268" s="11" t="s">
        <v>507</v>
      </c>
      <c r="D268" s="11"/>
      <c r="E268" s="11" t="s">
        <v>509</v>
      </c>
      <c r="F268" s="25"/>
      <c r="G268" s="13"/>
      <c r="H268" s="25"/>
      <c r="I268" s="13"/>
      <c r="J268" s="25"/>
      <c r="K268" s="13"/>
      <c r="L268" s="25"/>
      <c r="M268" s="13"/>
      <c r="N268" s="25"/>
      <c r="O268" s="13"/>
    </row>
    <row r="269" spans="1:15" ht="28.8" x14ac:dyDescent="0.3">
      <c r="A269" s="12" t="s">
        <v>155</v>
      </c>
      <c r="B269" s="12" t="s">
        <v>545</v>
      </c>
      <c r="C269" s="11" t="s">
        <v>507</v>
      </c>
      <c r="D269" s="11"/>
      <c r="E269" s="11" t="s">
        <v>509</v>
      </c>
      <c r="F269" s="25"/>
      <c r="G269" s="13"/>
      <c r="H269" s="25"/>
      <c r="I269" s="13"/>
      <c r="J269" s="25"/>
      <c r="K269" s="13"/>
      <c r="L269" s="25"/>
      <c r="M269" s="13"/>
      <c r="N269" s="25"/>
      <c r="O269" s="13"/>
    </row>
    <row r="270" spans="1:15" ht="28.8" x14ac:dyDescent="0.3">
      <c r="A270" s="12" t="s">
        <v>155</v>
      </c>
      <c r="B270" s="12" t="s">
        <v>546</v>
      </c>
      <c r="C270" s="11" t="s">
        <v>507</v>
      </c>
      <c r="D270" s="11"/>
      <c r="E270" s="11" t="s">
        <v>509</v>
      </c>
      <c r="F270" s="25"/>
      <c r="G270" s="13"/>
      <c r="H270" s="25"/>
      <c r="I270" s="13"/>
      <c r="J270" s="25"/>
      <c r="K270" s="13"/>
      <c r="L270" s="25"/>
      <c r="M270" s="13"/>
      <c r="N270" s="25"/>
      <c r="O270" s="13"/>
    </row>
    <row r="271" spans="1:15" ht="28.8" x14ac:dyDescent="0.3">
      <c r="A271" s="12" t="s">
        <v>155</v>
      </c>
      <c r="B271" s="12" t="s">
        <v>547</v>
      </c>
      <c r="C271" s="11" t="s">
        <v>507</v>
      </c>
      <c r="D271" s="11"/>
      <c r="E271" s="11" t="s">
        <v>509</v>
      </c>
      <c r="F271" s="25"/>
      <c r="G271" s="13"/>
      <c r="H271" s="25"/>
      <c r="I271" s="13"/>
      <c r="J271" s="25"/>
      <c r="K271" s="13"/>
      <c r="L271" s="25"/>
      <c r="M271" s="13"/>
      <c r="N271" s="25"/>
      <c r="O271" s="13"/>
    </row>
    <row r="272" spans="1:15" ht="28.8" x14ac:dyDescent="0.3">
      <c r="A272" s="12" t="s">
        <v>155</v>
      </c>
      <c r="B272" s="12" t="s">
        <v>548</v>
      </c>
      <c r="C272" s="11" t="s">
        <v>507</v>
      </c>
      <c r="D272" s="11"/>
      <c r="E272" s="11" t="s">
        <v>509</v>
      </c>
      <c r="F272" s="25"/>
      <c r="G272" s="13"/>
      <c r="H272" s="25"/>
      <c r="I272" s="13"/>
      <c r="J272" s="25"/>
      <c r="K272" s="13"/>
      <c r="L272" s="25"/>
      <c r="M272" s="13"/>
      <c r="N272" s="25"/>
      <c r="O272" s="13"/>
    </row>
    <row r="273" spans="1:15" ht="28.8" x14ac:dyDescent="0.3">
      <c r="A273" s="12" t="s">
        <v>155</v>
      </c>
      <c r="B273" s="12" t="s">
        <v>549</v>
      </c>
      <c r="C273" s="11" t="s">
        <v>507</v>
      </c>
      <c r="D273" s="11"/>
      <c r="E273" s="11" t="s">
        <v>509</v>
      </c>
      <c r="F273" s="25"/>
      <c r="G273" s="13"/>
      <c r="H273" s="25"/>
      <c r="I273" s="13"/>
      <c r="J273" s="25"/>
      <c r="K273" s="13"/>
      <c r="L273" s="25"/>
      <c r="M273" s="13"/>
      <c r="N273" s="25"/>
      <c r="O273" s="13"/>
    </row>
    <row r="274" spans="1:15" ht="28.8" x14ac:dyDescent="0.3">
      <c r="A274" s="12" t="s">
        <v>155</v>
      </c>
      <c r="B274" s="12" t="s">
        <v>513</v>
      </c>
      <c r="C274" s="11" t="s">
        <v>507</v>
      </c>
      <c r="D274" s="11"/>
      <c r="E274" s="11" t="s">
        <v>509</v>
      </c>
      <c r="F274" s="25"/>
      <c r="G274" s="13"/>
      <c r="H274" s="25"/>
      <c r="I274" s="13"/>
      <c r="J274" s="25"/>
      <c r="K274" s="13"/>
      <c r="L274" s="25"/>
      <c r="M274" s="13"/>
      <c r="N274" s="25"/>
      <c r="O274" s="13"/>
    </row>
    <row r="275" spans="1:15" ht="28.8" x14ac:dyDescent="0.3">
      <c r="A275" s="12" t="s">
        <v>155</v>
      </c>
      <c r="B275" s="12" t="s">
        <v>514</v>
      </c>
      <c r="C275" s="11" t="s">
        <v>507</v>
      </c>
      <c r="D275" s="11"/>
      <c r="E275" s="11" t="s">
        <v>509</v>
      </c>
      <c r="F275" s="25"/>
      <c r="G275" s="13"/>
      <c r="H275" s="25"/>
      <c r="I275" s="13"/>
      <c r="J275" s="25"/>
      <c r="K275" s="13"/>
      <c r="L275" s="25"/>
      <c r="M275" s="13"/>
      <c r="N275" s="25"/>
      <c r="O275" s="13"/>
    </row>
    <row r="276" spans="1:15" x14ac:dyDescent="0.3">
      <c r="A276" s="12" t="s">
        <v>155</v>
      </c>
      <c r="B276" s="12" t="s">
        <v>515</v>
      </c>
      <c r="C276" s="11" t="s">
        <v>507</v>
      </c>
      <c r="D276" s="11"/>
      <c r="E276" s="11" t="s">
        <v>509</v>
      </c>
      <c r="F276" s="25"/>
      <c r="G276" s="13"/>
      <c r="H276" s="25"/>
      <c r="I276" s="13"/>
      <c r="J276" s="25"/>
      <c r="K276" s="13"/>
      <c r="L276" s="25"/>
      <c r="M276" s="13"/>
      <c r="N276" s="25"/>
      <c r="O276" s="13"/>
    </row>
    <row r="277" spans="1:15" ht="28.8" x14ac:dyDescent="0.3">
      <c r="A277" s="12" t="s">
        <v>155</v>
      </c>
      <c r="B277" s="12" t="s">
        <v>550</v>
      </c>
      <c r="C277" s="11" t="s">
        <v>507</v>
      </c>
      <c r="D277" s="11"/>
      <c r="E277" s="11" t="s">
        <v>509</v>
      </c>
      <c r="F277" s="25"/>
      <c r="G277" s="13"/>
      <c r="H277" s="25"/>
      <c r="I277" s="13"/>
      <c r="J277" s="25"/>
      <c r="K277" s="13"/>
      <c r="L277" s="25"/>
      <c r="M277" s="13"/>
      <c r="N277" s="25"/>
      <c r="O277" s="13"/>
    </row>
    <row r="278" spans="1:15" ht="28.8" x14ac:dyDescent="0.3">
      <c r="A278" s="12" t="s">
        <v>155</v>
      </c>
      <c r="B278" s="12" t="s">
        <v>551</v>
      </c>
      <c r="C278" s="11" t="s">
        <v>507</v>
      </c>
      <c r="D278" s="11"/>
      <c r="E278" s="11" t="s">
        <v>509</v>
      </c>
      <c r="F278" s="25"/>
      <c r="G278" s="13"/>
      <c r="H278" s="25"/>
      <c r="I278" s="13"/>
      <c r="J278" s="25"/>
      <c r="K278" s="13"/>
      <c r="L278" s="25"/>
      <c r="M278" s="13"/>
      <c r="N278" s="25"/>
      <c r="O278" s="13"/>
    </row>
    <row r="279" spans="1:15" ht="28.8" x14ac:dyDescent="0.3">
      <c r="A279" s="12" t="s">
        <v>155</v>
      </c>
      <c r="B279" s="12" t="s">
        <v>552</v>
      </c>
      <c r="C279" s="11" t="s">
        <v>507</v>
      </c>
      <c r="D279" s="11"/>
      <c r="E279" s="11" t="s">
        <v>509</v>
      </c>
      <c r="F279" s="25"/>
      <c r="G279" s="13"/>
      <c r="H279" s="25"/>
      <c r="I279" s="13"/>
      <c r="J279" s="25"/>
      <c r="K279" s="13"/>
      <c r="L279" s="25"/>
      <c r="M279" s="13"/>
      <c r="N279" s="25"/>
      <c r="O279" s="13"/>
    </row>
    <row r="280" spans="1:15" ht="28.8" x14ac:dyDescent="0.3">
      <c r="A280" s="12" t="s">
        <v>155</v>
      </c>
      <c r="B280" s="12" t="s">
        <v>553</v>
      </c>
      <c r="C280" s="11" t="s">
        <v>507</v>
      </c>
      <c r="D280" s="11"/>
      <c r="E280" s="11" t="s">
        <v>509</v>
      </c>
      <c r="F280" s="25"/>
      <c r="G280" s="13"/>
      <c r="H280" s="25"/>
      <c r="I280" s="13"/>
      <c r="J280" s="25"/>
      <c r="K280" s="13"/>
      <c r="L280" s="25"/>
      <c r="M280" s="13"/>
      <c r="N280" s="25"/>
      <c r="O280" s="13"/>
    </row>
    <row r="281" spans="1:15" ht="28.8" x14ac:dyDescent="0.3">
      <c r="A281" s="12" t="s">
        <v>155</v>
      </c>
      <c r="B281" s="12" t="s">
        <v>554</v>
      </c>
      <c r="C281" s="11" t="s">
        <v>507</v>
      </c>
      <c r="D281" s="11"/>
      <c r="E281" s="11" t="s">
        <v>509</v>
      </c>
      <c r="F281" s="25"/>
      <c r="G281" s="13"/>
      <c r="H281" s="25"/>
      <c r="I281" s="13"/>
      <c r="J281" s="25"/>
      <c r="K281" s="13"/>
      <c r="L281" s="25"/>
      <c r="M281" s="13"/>
      <c r="N281" s="25"/>
      <c r="O281" s="13"/>
    </row>
    <row r="282" spans="1:15" ht="28.8" x14ac:dyDescent="0.3">
      <c r="A282" s="12" t="s">
        <v>155</v>
      </c>
      <c r="B282" s="12" t="s">
        <v>555</v>
      </c>
      <c r="C282" s="11" t="s">
        <v>507</v>
      </c>
      <c r="D282" s="11"/>
      <c r="E282" s="11" t="s">
        <v>509</v>
      </c>
      <c r="F282" s="25"/>
      <c r="G282" s="13"/>
      <c r="H282" s="25"/>
      <c r="I282" s="13"/>
      <c r="J282" s="25"/>
      <c r="K282" s="13"/>
      <c r="L282" s="25"/>
      <c r="M282" s="13"/>
      <c r="N282" s="25"/>
      <c r="O282" s="13"/>
    </row>
    <row r="285" spans="1:15" x14ac:dyDescent="0.3">
      <c r="E285" s="4"/>
    </row>
    <row r="286" spans="1:15" x14ac:dyDescent="0.3">
      <c r="E286" t="str">
        <f>{"",10,0}</f>
        <v/>
      </c>
    </row>
  </sheetData>
  <sheetProtection selectLockedCells="1"/>
  <protectedRanges>
    <protectedRange password="94A1" sqref="G5:G19 I5:I19 K5:K19 M5:M19 O5:O19" name="Comments"/>
    <protectedRange password="94A1" sqref="O41:O282 M41:M282 K41:K282 I41:I282 G41:G282" name="comments_1"/>
    <protectedRange sqref="C80:E101" name="Range2"/>
    <protectedRange sqref="B97:B101" name="Range3"/>
    <protectedRange sqref="B97:B101" name="comments_2"/>
  </protectedRanges>
  <mergeCells count="5">
    <mergeCell ref="L2:M2"/>
    <mergeCell ref="N2:O2"/>
    <mergeCell ref="F2:G2"/>
    <mergeCell ref="H2:I2"/>
    <mergeCell ref="J2:K2"/>
  </mergeCells>
  <conditionalFormatting sqref="F5:F282 H5:H282 J5:J282 L5:L282 N5:N282">
    <cfRule type="cellIs" dxfId="4" priority="48" operator="equal">
      <formula>"Not Applicable"</formula>
    </cfRule>
    <cfRule type="cellIs" dxfId="3" priority="297" operator="equal">
      <formula>""</formula>
    </cfRule>
    <cfRule type="cellIs" dxfId="2" priority="298" operator="equal">
      <formula>$D$4</formula>
    </cfRule>
    <cfRule type="cellIs" dxfId="1" priority="299" operator="equal">
      <formula>$C$4</formula>
    </cfRule>
    <cfRule type="cellIs" dxfId="0" priority="300" operator="equal">
      <formula>$E$4</formula>
    </cfRule>
  </conditionalFormatting>
  <dataValidations count="2">
    <dataValidation type="list" allowBlank="1" showInputMessage="1" showErrorMessage="1" sqref="F5:F261 H5:H261 N5:N261 J5:J261 L5:L261" xr:uid="{00000000-0002-0000-0000-000000000000}">
      <formula1>$B$4:$E$4</formula1>
    </dataValidation>
    <dataValidation type="list" allowBlank="1" showInputMessage="1" showErrorMessage="1" sqref="F262:F282 H262:H282 J262:J282 L262:L282 N262:N282" xr:uid="{00000000-0002-0000-0000-000001000000}">
      <formula1>$B$3:$E$3</formula1>
    </dataValidation>
  </dataValidations>
  <pageMargins left="0.7" right="0.7" top="0.75" bottom="0.75" header="0.3" footer="0.3"/>
  <pageSetup scale="27" fitToHeight="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V116"/>
  <sheetViews>
    <sheetView topLeftCell="A56" zoomScale="80" zoomScaleNormal="80" workbookViewId="0">
      <selection activeCell="B1" sqref="B1"/>
    </sheetView>
  </sheetViews>
  <sheetFormatPr defaultRowHeight="14.4" x14ac:dyDescent="0.3"/>
  <cols>
    <col min="1" max="1" width="1" customWidth="1"/>
    <col min="2" max="2" width="6.6640625" style="2" customWidth="1"/>
    <col min="3" max="7" width="12.6640625" customWidth="1"/>
    <col min="8" max="8" width="3.6640625" customWidth="1"/>
    <col min="9" max="9" width="0" hidden="1" customWidth="1"/>
    <col min="10" max="10" width="6.6640625" customWidth="1"/>
    <col min="11" max="15" width="12.6640625" customWidth="1"/>
    <col min="16" max="16" width="3.6640625" customWidth="1"/>
    <col min="17" max="17" width="6.6640625" customWidth="1"/>
    <col min="18" max="22" width="12.6640625" customWidth="1"/>
  </cols>
  <sheetData>
    <row r="1" spans="2:22" ht="60.75" customHeight="1" x14ac:dyDescent="0.3">
      <c r="B1" s="5"/>
      <c r="C1" s="6"/>
      <c r="D1" s="39" t="s">
        <v>203</v>
      </c>
      <c r="E1" s="6"/>
      <c r="F1" s="6"/>
      <c r="G1" s="6"/>
      <c r="H1" s="6"/>
      <c r="I1" s="6"/>
      <c r="J1" s="6"/>
      <c r="K1" s="6"/>
      <c r="L1" s="6"/>
      <c r="M1" s="6"/>
      <c r="N1" s="6"/>
      <c r="O1" s="6"/>
      <c r="P1" s="6"/>
      <c r="Q1" s="6"/>
      <c r="R1" s="6"/>
      <c r="S1" s="6"/>
      <c r="T1" s="6"/>
      <c r="U1" s="6"/>
      <c r="V1" s="6"/>
    </row>
    <row r="2" spans="2:22" ht="15" customHeight="1" x14ac:dyDescent="0.3">
      <c r="B2" s="5"/>
      <c r="C2" s="6"/>
      <c r="D2" s="7"/>
      <c r="E2" s="6"/>
      <c r="F2" s="6"/>
      <c r="G2" s="6"/>
      <c r="H2" s="6"/>
      <c r="I2" s="6"/>
      <c r="J2" s="6"/>
      <c r="K2" s="6"/>
      <c r="L2" s="6"/>
      <c r="M2" s="6"/>
      <c r="N2" s="6"/>
      <c r="O2" s="6"/>
      <c r="P2" s="6"/>
      <c r="Q2" s="6"/>
      <c r="R2" s="6"/>
      <c r="S2" s="6"/>
      <c r="T2" s="6"/>
      <c r="U2" s="6"/>
      <c r="V2" s="6"/>
    </row>
    <row r="3" spans="2:22" ht="15" customHeight="1" x14ac:dyDescent="0.3">
      <c r="B3" s="5"/>
      <c r="C3" s="6"/>
      <c r="D3" s="7"/>
      <c r="E3" s="6"/>
      <c r="F3" s="6"/>
      <c r="G3" s="6"/>
      <c r="H3" s="6"/>
      <c r="I3" s="6"/>
      <c r="J3" s="6"/>
      <c r="K3" s="6"/>
      <c r="L3" s="6"/>
      <c r="M3" s="6"/>
      <c r="N3" s="6"/>
      <c r="O3" s="6"/>
      <c r="P3" s="6"/>
      <c r="Q3" s="6"/>
      <c r="R3" s="6"/>
      <c r="S3" s="6"/>
      <c r="T3" s="6"/>
      <c r="U3" s="6"/>
      <c r="V3" s="6"/>
    </row>
    <row r="4" spans="2:22" ht="23.4" x14ac:dyDescent="0.3">
      <c r="B4" s="44" t="s">
        <v>152</v>
      </c>
      <c r="C4" s="45"/>
      <c r="D4" s="45"/>
      <c r="E4" s="45"/>
      <c r="F4" s="45"/>
      <c r="G4" s="46"/>
      <c r="H4" s="6"/>
      <c r="J4" s="44" t="s">
        <v>151</v>
      </c>
      <c r="K4" s="45"/>
      <c r="L4" s="45"/>
      <c r="M4" s="45"/>
      <c r="N4" s="45"/>
      <c r="O4" s="46"/>
      <c r="P4" s="6"/>
      <c r="Q4" s="44" t="s">
        <v>156</v>
      </c>
      <c r="R4" s="45"/>
      <c r="S4" s="45"/>
      <c r="T4" s="45"/>
      <c r="U4" s="45"/>
      <c r="V4" s="46"/>
    </row>
    <row r="5" spans="2:22" ht="28.8" x14ac:dyDescent="0.3">
      <c r="B5" s="40" t="s">
        <v>150</v>
      </c>
      <c r="C5" s="40" t="s">
        <v>1</v>
      </c>
      <c r="D5" s="41" t="s">
        <v>2</v>
      </c>
      <c r="E5" s="41" t="s">
        <v>3</v>
      </c>
      <c r="F5" s="41" t="s">
        <v>202</v>
      </c>
      <c r="G5" s="41" t="s">
        <v>59</v>
      </c>
      <c r="H5" s="6"/>
      <c r="J5" s="40" t="s">
        <v>150</v>
      </c>
      <c r="K5" s="40" t="s">
        <v>392</v>
      </c>
      <c r="L5" s="41" t="s">
        <v>393</v>
      </c>
      <c r="M5" s="41" t="s">
        <v>394</v>
      </c>
      <c r="N5" s="41" t="s">
        <v>202</v>
      </c>
      <c r="O5" s="41" t="s">
        <v>59</v>
      </c>
      <c r="P5" s="6"/>
      <c r="Q5" s="40" t="s">
        <v>150</v>
      </c>
      <c r="R5" s="40" t="s">
        <v>392</v>
      </c>
      <c r="S5" s="41" t="s">
        <v>393</v>
      </c>
      <c r="T5" s="41" t="s">
        <v>394</v>
      </c>
      <c r="U5" s="41" t="s">
        <v>202</v>
      </c>
      <c r="V5" s="41" t="s">
        <v>59</v>
      </c>
    </row>
    <row r="6" spans="2:22" x14ac:dyDescent="0.3">
      <c r="B6" s="8">
        <f>Questions!$F$2</f>
        <v>2023</v>
      </c>
      <c r="C6" s="8">
        <f>COUNTIF(hazard_1,10)</f>
        <v>0</v>
      </c>
      <c r="D6" s="8">
        <f>COUNTIF(hazard_1,5)</f>
        <v>0</v>
      </c>
      <c r="E6" s="8">
        <f>COUNTIF(hazard_1,0)</f>
        <v>0</v>
      </c>
      <c r="F6" s="8">
        <f>COUNTIF(hazard_1,"")</f>
        <v>49</v>
      </c>
      <c r="G6" s="8">
        <f>SUM(C6:F6)</f>
        <v>49</v>
      </c>
      <c r="H6" s="6"/>
      <c r="I6" t="s">
        <v>160</v>
      </c>
      <c r="J6" s="8">
        <f>Questions!$F$2</f>
        <v>2023</v>
      </c>
      <c r="K6" s="8">
        <f>COUNTIF(hiring_1,10)</f>
        <v>0</v>
      </c>
      <c r="L6" s="8">
        <f>COUNTIF(hiring_1,5)</f>
        <v>0</v>
      </c>
      <c r="M6" s="8">
        <f>COUNTIF(hiring_1,0)</f>
        <v>0</v>
      </c>
      <c r="N6" s="8">
        <f>COUNTIF(hiring_1,"")</f>
        <v>47</v>
      </c>
      <c r="O6" s="8">
        <f>SUM(K6:N6)</f>
        <v>47</v>
      </c>
      <c r="P6" s="6"/>
      <c r="Q6" s="8">
        <f>Questions!$F$2</f>
        <v>2023</v>
      </c>
      <c r="R6" s="8">
        <f>COUNTIF(incident_1,10)</f>
        <v>0</v>
      </c>
      <c r="S6" s="8">
        <f>COUNTIF(incident_1,5)</f>
        <v>0</v>
      </c>
      <c r="T6" s="8">
        <f>COUNTIF(incident_1,0)</f>
        <v>0</v>
      </c>
      <c r="U6" s="8">
        <f>COUNTIF(incident_1,"")</f>
        <v>18</v>
      </c>
      <c r="V6" s="8">
        <f>SUM(R6:U6)</f>
        <v>18</v>
      </c>
    </row>
    <row r="7" spans="2:22" x14ac:dyDescent="0.3">
      <c r="B7" s="8">
        <f>Questions!$H$2</f>
        <v>2024</v>
      </c>
      <c r="C7" s="8">
        <f>COUNTIF(hazard_2,10)</f>
        <v>0</v>
      </c>
      <c r="D7" s="8">
        <f>COUNTIF(hazard_2,5)</f>
        <v>0</v>
      </c>
      <c r="E7" s="8">
        <f>COUNTIF(hazard_2,0)</f>
        <v>0</v>
      </c>
      <c r="F7" s="8">
        <f>COUNTIF(hazard_2,"")</f>
        <v>49</v>
      </c>
      <c r="G7" s="8">
        <f>SUM(C7:F7)</f>
        <v>49</v>
      </c>
      <c r="H7" s="6"/>
      <c r="I7" t="s">
        <v>158</v>
      </c>
      <c r="J7" s="8">
        <f>Questions!$H$2</f>
        <v>2024</v>
      </c>
      <c r="K7" s="8">
        <f>COUNTIF(hiring_2,10)</f>
        <v>0</v>
      </c>
      <c r="L7" s="8">
        <f>COUNTIF(hiring_2,5)</f>
        <v>0</v>
      </c>
      <c r="M7" s="8">
        <f>COUNTIF(hiring_2,0)</f>
        <v>0</v>
      </c>
      <c r="N7" s="8">
        <f>COUNTIF(hiring_2,"")</f>
        <v>47</v>
      </c>
      <c r="O7" s="8">
        <f>SUM(K7:N7)</f>
        <v>47</v>
      </c>
      <c r="P7" s="6"/>
      <c r="Q7" s="8">
        <f>Questions!$H$2</f>
        <v>2024</v>
      </c>
      <c r="R7" s="8">
        <f>COUNTIF(incident_2,10)</f>
        <v>0</v>
      </c>
      <c r="S7" s="8">
        <f>COUNTIF(incident_2,5)</f>
        <v>0</v>
      </c>
      <c r="T7" s="8">
        <f>COUNTIF(incident_2,0)</f>
        <v>0</v>
      </c>
      <c r="U7" s="8">
        <f>COUNTIF(incident_2,"")</f>
        <v>18</v>
      </c>
      <c r="V7" s="8">
        <f>SUM(R7:U7)</f>
        <v>18</v>
      </c>
    </row>
    <row r="8" spans="2:22" x14ac:dyDescent="0.3">
      <c r="B8" s="8">
        <f>Questions!$J$2</f>
        <v>2025</v>
      </c>
      <c r="C8" s="8">
        <f>COUNTIF(hazard_3,10)</f>
        <v>0</v>
      </c>
      <c r="D8" s="8">
        <f>COUNTIF(hazard_3,5)</f>
        <v>0</v>
      </c>
      <c r="E8" s="8">
        <f>COUNTIF(hazard_3,0)</f>
        <v>0</v>
      </c>
      <c r="F8" s="8">
        <f>COUNTIF(hazard_3,"")</f>
        <v>49</v>
      </c>
      <c r="G8" s="8">
        <f>SUM(C8:F8)</f>
        <v>49</v>
      </c>
      <c r="H8" s="6"/>
      <c r="I8" t="s">
        <v>159</v>
      </c>
      <c r="J8" s="8">
        <f>Questions!$J$2</f>
        <v>2025</v>
      </c>
      <c r="K8" s="8">
        <f>COUNTIF(hiring_3,10)</f>
        <v>0</v>
      </c>
      <c r="L8" s="8">
        <f>COUNTIF(hiring_3,5)</f>
        <v>0</v>
      </c>
      <c r="M8" s="8">
        <f>COUNTIF(hiring_3,0)</f>
        <v>0</v>
      </c>
      <c r="N8" s="8">
        <f>COUNTIF(hiring_3,"")</f>
        <v>47</v>
      </c>
      <c r="O8" s="8">
        <f>SUM(K8:N8)</f>
        <v>47</v>
      </c>
      <c r="P8" s="6"/>
      <c r="Q8" s="8">
        <f>Questions!$J$2</f>
        <v>2025</v>
      </c>
      <c r="R8" s="8">
        <f>COUNTIF(incident_3,10)</f>
        <v>0</v>
      </c>
      <c r="S8" s="8">
        <f>COUNTIF(incident_3,5)</f>
        <v>0</v>
      </c>
      <c r="T8" s="8">
        <f>COUNTIF(incident_3,0)</f>
        <v>0</v>
      </c>
      <c r="U8" s="8">
        <f>COUNTIF(incident_3,"")</f>
        <v>18</v>
      </c>
      <c r="V8" s="8">
        <f>SUM(R8:U8)</f>
        <v>18</v>
      </c>
    </row>
    <row r="9" spans="2:22" x14ac:dyDescent="0.3">
      <c r="B9" s="8">
        <f>Questions!$L$2</f>
        <v>2026</v>
      </c>
      <c r="C9" s="8">
        <f>COUNTIF(hazard_4,10)</f>
        <v>0</v>
      </c>
      <c r="D9" s="8">
        <f>COUNTIF(hazard_4,5)</f>
        <v>0</v>
      </c>
      <c r="E9" s="8">
        <f>COUNTIF(hazard_4,0)</f>
        <v>0</v>
      </c>
      <c r="F9" s="8">
        <f>COUNTIF(hazard_4,"")</f>
        <v>49</v>
      </c>
      <c r="G9" s="8">
        <f>SUM(C9:F9)</f>
        <v>49</v>
      </c>
      <c r="H9" s="6"/>
      <c r="I9" t="s">
        <v>166</v>
      </c>
      <c r="J9" s="8">
        <f>Questions!$L$2</f>
        <v>2026</v>
      </c>
      <c r="K9" s="8">
        <f>COUNTIF(hiring_4,10)</f>
        <v>0</v>
      </c>
      <c r="L9" s="8">
        <f>COUNTIF(hiring_4,5)</f>
        <v>0</v>
      </c>
      <c r="M9" s="8">
        <f>COUNTIF(hiring_4,0)</f>
        <v>0</v>
      </c>
      <c r="N9" s="8">
        <f>COUNTIF(hiring_4,"")</f>
        <v>47</v>
      </c>
      <c r="O9" s="8">
        <f>SUM(K9:N9)</f>
        <v>47</v>
      </c>
      <c r="P9" s="6"/>
      <c r="Q9" s="8">
        <f>Questions!$L$2</f>
        <v>2026</v>
      </c>
      <c r="R9" s="8">
        <f>COUNTIF(incident_4,10)</f>
        <v>0</v>
      </c>
      <c r="S9" s="8">
        <f>COUNTIF(incident_4,5)</f>
        <v>0</v>
      </c>
      <c r="T9" s="8">
        <f>COUNTIF(incident_4,0)</f>
        <v>0</v>
      </c>
      <c r="U9" s="8">
        <f>COUNTIF(incident_4,"")</f>
        <v>18</v>
      </c>
      <c r="V9" s="8">
        <f>SUM(R9:U9)</f>
        <v>18</v>
      </c>
    </row>
    <row r="10" spans="2:22" x14ac:dyDescent="0.3">
      <c r="B10" s="8">
        <f>Questions!$N$2</f>
        <v>2027</v>
      </c>
      <c r="C10" s="8">
        <f>COUNTIF(hazard_5,10)</f>
        <v>0</v>
      </c>
      <c r="D10" s="8">
        <f>COUNTIF(hazard_5,5)</f>
        <v>0</v>
      </c>
      <c r="E10" s="8">
        <f>COUNTIF(hazard_5,0)</f>
        <v>0</v>
      </c>
      <c r="F10" s="8">
        <f>COUNTIF(hazard_5,"")</f>
        <v>49</v>
      </c>
      <c r="G10" s="8">
        <f>SUM(C10:F10)</f>
        <v>49</v>
      </c>
      <c r="H10" s="6"/>
      <c r="I10" t="s">
        <v>165</v>
      </c>
      <c r="J10" s="8">
        <f>Questions!$N$2</f>
        <v>2027</v>
      </c>
      <c r="K10" s="8">
        <f>COUNTIF(hiring_5,10)</f>
        <v>0</v>
      </c>
      <c r="L10" s="8">
        <f>COUNTIF(hiring_5,5)</f>
        <v>0</v>
      </c>
      <c r="M10" s="8">
        <f>COUNTIF(hiring_5,0)</f>
        <v>0</v>
      </c>
      <c r="N10" s="8">
        <f>COUNTIF(hiring_5,"")</f>
        <v>47</v>
      </c>
      <c r="O10" s="8">
        <f>SUM(K10:N10)</f>
        <v>47</v>
      </c>
      <c r="P10" s="6"/>
      <c r="Q10" s="8">
        <f>Questions!$N$2</f>
        <v>2027</v>
      </c>
      <c r="R10" s="8">
        <f>COUNTIF(incident_5,10)</f>
        <v>0</v>
      </c>
      <c r="S10" s="8">
        <f>COUNTIF(incident_5,5)</f>
        <v>0</v>
      </c>
      <c r="T10" s="8">
        <f>COUNTIF(incident_5,0)</f>
        <v>0</v>
      </c>
      <c r="U10" s="8">
        <f>COUNTIF(incident_5,"")</f>
        <v>18</v>
      </c>
      <c r="V10" s="8">
        <f>SUM(R10:U10)</f>
        <v>18</v>
      </c>
    </row>
    <row r="11" spans="2:22" x14ac:dyDescent="0.3">
      <c r="B11" s="15"/>
      <c r="C11" s="16"/>
      <c r="D11" s="16"/>
      <c r="E11" s="16"/>
      <c r="F11" s="16"/>
      <c r="G11" s="17"/>
      <c r="H11" s="6"/>
      <c r="I11" s="6"/>
      <c r="J11" s="15"/>
      <c r="K11" s="16"/>
      <c r="L11" s="16"/>
      <c r="M11" s="16"/>
      <c r="N11" s="16"/>
      <c r="O11" s="17"/>
      <c r="P11" s="6"/>
      <c r="Q11" s="15"/>
      <c r="R11" s="16"/>
      <c r="S11" s="16"/>
      <c r="T11" s="16"/>
      <c r="U11" s="16"/>
      <c r="V11" s="17"/>
    </row>
    <row r="12" spans="2:22" x14ac:dyDescent="0.3">
      <c r="B12" s="18"/>
      <c r="C12" s="6"/>
      <c r="D12" s="6"/>
      <c r="E12" s="6"/>
      <c r="F12" s="6"/>
      <c r="G12" s="19"/>
      <c r="H12" s="6"/>
      <c r="I12" s="6"/>
      <c r="J12" s="18"/>
      <c r="K12" s="6"/>
      <c r="L12" s="6"/>
      <c r="M12" s="6"/>
      <c r="N12" s="6"/>
      <c r="O12" s="19"/>
      <c r="P12" s="6"/>
      <c r="Q12" s="18"/>
      <c r="R12" s="6"/>
      <c r="S12" s="6"/>
      <c r="T12" s="6"/>
      <c r="U12" s="6"/>
      <c r="V12" s="19"/>
    </row>
    <row r="13" spans="2:22" x14ac:dyDescent="0.3">
      <c r="B13" s="18"/>
      <c r="C13" s="6"/>
      <c r="D13" s="6"/>
      <c r="E13" s="6"/>
      <c r="F13" s="6"/>
      <c r="G13" s="19"/>
      <c r="H13" s="6"/>
      <c r="I13" s="6"/>
      <c r="J13" s="18"/>
      <c r="K13" s="6"/>
      <c r="L13" s="6"/>
      <c r="M13" s="6"/>
      <c r="N13" s="6"/>
      <c r="O13" s="19"/>
      <c r="P13" s="6"/>
      <c r="Q13" s="18"/>
      <c r="R13" s="6"/>
      <c r="S13" s="6"/>
      <c r="T13" s="6"/>
      <c r="U13" s="6"/>
      <c r="V13" s="19"/>
    </row>
    <row r="14" spans="2:22" x14ac:dyDescent="0.3">
      <c r="B14" s="18"/>
      <c r="C14" s="6"/>
      <c r="D14" s="6"/>
      <c r="E14" s="6"/>
      <c r="F14" s="6"/>
      <c r="G14" s="19"/>
      <c r="H14" s="6"/>
      <c r="I14" s="6"/>
      <c r="J14" s="18"/>
      <c r="K14" s="6"/>
      <c r="L14" s="6"/>
      <c r="M14" s="6"/>
      <c r="N14" s="6"/>
      <c r="O14" s="19"/>
      <c r="P14" s="6"/>
      <c r="Q14" s="18"/>
      <c r="R14" s="6"/>
      <c r="S14" s="6"/>
      <c r="T14" s="6"/>
      <c r="U14" s="6"/>
      <c r="V14" s="19"/>
    </row>
    <row r="15" spans="2:22" x14ac:dyDescent="0.3">
      <c r="B15" s="18"/>
      <c r="C15" s="6"/>
      <c r="D15" s="6"/>
      <c r="E15" s="6"/>
      <c r="F15" s="6"/>
      <c r="G15" s="19"/>
      <c r="H15" s="6"/>
      <c r="I15" s="6"/>
      <c r="J15" s="18"/>
      <c r="K15" s="6"/>
      <c r="L15" s="6"/>
      <c r="M15" s="6"/>
      <c r="N15" s="6"/>
      <c r="O15" s="19"/>
      <c r="P15" s="6"/>
      <c r="Q15" s="18"/>
      <c r="R15" s="6"/>
      <c r="S15" s="6"/>
      <c r="T15" s="6"/>
      <c r="U15" s="6"/>
      <c r="V15" s="19"/>
    </row>
    <row r="16" spans="2:22" x14ac:dyDescent="0.3">
      <c r="B16" s="18"/>
      <c r="C16" s="6"/>
      <c r="D16" s="6"/>
      <c r="E16" s="6"/>
      <c r="F16" s="6"/>
      <c r="G16" s="19"/>
      <c r="H16" s="6"/>
      <c r="I16" s="6"/>
      <c r="J16" s="18"/>
      <c r="K16" s="6"/>
      <c r="L16" s="6"/>
      <c r="M16" s="6"/>
      <c r="N16" s="6"/>
      <c r="O16" s="19"/>
      <c r="P16" s="6"/>
      <c r="Q16" s="18"/>
      <c r="R16" s="6"/>
      <c r="S16" s="6"/>
      <c r="T16" s="6"/>
      <c r="U16" s="6"/>
      <c r="V16" s="19"/>
    </row>
    <row r="17" spans="2:22" x14ac:dyDescent="0.3">
      <c r="B17" s="18"/>
      <c r="C17" s="6"/>
      <c r="D17" s="6"/>
      <c r="E17" s="6"/>
      <c r="F17" s="6"/>
      <c r="G17" s="19"/>
      <c r="H17" s="6"/>
      <c r="I17" s="6"/>
      <c r="J17" s="18"/>
      <c r="K17" s="6"/>
      <c r="L17" s="6"/>
      <c r="M17" s="6"/>
      <c r="N17" s="6"/>
      <c r="O17" s="19"/>
      <c r="P17" s="6"/>
      <c r="Q17" s="18"/>
      <c r="R17" s="6"/>
      <c r="S17" s="6"/>
      <c r="T17" s="6"/>
      <c r="U17" s="6"/>
      <c r="V17" s="19"/>
    </row>
    <row r="18" spans="2:22" x14ac:dyDescent="0.3">
      <c r="B18" s="18"/>
      <c r="C18" s="6"/>
      <c r="D18" s="6"/>
      <c r="E18" s="6"/>
      <c r="F18" s="6"/>
      <c r="G18" s="19"/>
      <c r="H18" s="6"/>
      <c r="I18" s="6"/>
      <c r="J18" s="18"/>
      <c r="K18" s="6"/>
      <c r="L18" s="6"/>
      <c r="M18" s="6"/>
      <c r="N18" s="6"/>
      <c r="O18" s="19"/>
      <c r="P18" s="6"/>
      <c r="Q18" s="18"/>
      <c r="R18" s="6"/>
      <c r="S18" s="6"/>
      <c r="T18" s="6"/>
      <c r="U18" s="6"/>
      <c r="V18" s="19"/>
    </row>
    <row r="19" spans="2:22" x14ac:dyDescent="0.3">
      <c r="B19" s="18"/>
      <c r="C19" s="6"/>
      <c r="D19" s="6"/>
      <c r="E19" s="6"/>
      <c r="F19" s="6"/>
      <c r="G19" s="19"/>
      <c r="H19" s="6"/>
      <c r="I19" s="6"/>
      <c r="J19" s="18"/>
      <c r="K19" s="6"/>
      <c r="L19" s="6"/>
      <c r="M19" s="6"/>
      <c r="N19" s="6"/>
      <c r="O19" s="19"/>
      <c r="P19" s="6"/>
      <c r="Q19" s="18"/>
      <c r="R19" s="6"/>
      <c r="S19" s="6"/>
      <c r="T19" s="6"/>
      <c r="U19" s="6"/>
      <c r="V19" s="19"/>
    </row>
    <row r="20" spans="2:22" x14ac:dyDescent="0.3">
      <c r="B20" s="18"/>
      <c r="C20" s="6"/>
      <c r="D20" s="6"/>
      <c r="E20" s="6"/>
      <c r="F20" s="6"/>
      <c r="G20" s="19"/>
      <c r="H20" s="6"/>
      <c r="I20" s="6"/>
      <c r="J20" s="18"/>
      <c r="K20" s="6"/>
      <c r="L20" s="6"/>
      <c r="M20" s="6"/>
      <c r="N20" s="6"/>
      <c r="O20" s="19"/>
      <c r="P20" s="6"/>
      <c r="Q20" s="18"/>
      <c r="R20" s="6"/>
      <c r="S20" s="6"/>
      <c r="T20" s="6"/>
      <c r="U20" s="6"/>
      <c r="V20" s="19"/>
    </row>
    <row r="21" spans="2:22" x14ac:dyDescent="0.3">
      <c r="B21" s="18"/>
      <c r="C21" s="6"/>
      <c r="D21" s="6"/>
      <c r="E21" s="6"/>
      <c r="F21" s="6"/>
      <c r="G21" s="19"/>
      <c r="H21" s="6"/>
      <c r="I21" s="6"/>
      <c r="J21" s="18"/>
      <c r="K21" s="6"/>
      <c r="L21" s="6"/>
      <c r="M21" s="6"/>
      <c r="N21" s="6"/>
      <c r="O21" s="19"/>
      <c r="P21" s="6"/>
      <c r="Q21" s="18"/>
      <c r="R21" s="6"/>
      <c r="S21" s="6"/>
      <c r="T21" s="6"/>
      <c r="U21" s="6"/>
      <c r="V21" s="19"/>
    </row>
    <row r="22" spans="2:22" x14ac:dyDescent="0.3">
      <c r="B22" s="18"/>
      <c r="C22" s="6"/>
      <c r="D22" s="6"/>
      <c r="E22" s="6"/>
      <c r="F22" s="6"/>
      <c r="G22" s="19"/>
      <c r="H22" s="6"/>
      <c r="I22" s="6"/>
      <c r="J22" s="18"/>
      <c r="K22" s="6"/>
      <c r="L22" s="6"/>
      <c r="M22" s="6"/>
      <c r="N22" s="6"/>
      <c r="O22" s="19"/>
      <c r="P22" s="6"/>
      <c r="Q22" s="18"/>
      <c r="R22" s="6"/>
      <c r="S22" s="6"/>
      <c r="T22" s="6"/>
      <c r="U22" s="6"/>
      <c r="V22" s="19"/>
    </row>
    <row r="23" spans="2:22" x14ac:dyDescent="0.3">
      <c r="B23" s="18"/>
      <c r="C23" s="6"/>
      <c r="D23" s="6"/>
      <c r="E23" s="6"/>
      <c r="F23" s="6"/>
      <c r="G23" s="19"/>
      <c r="H23" s="6"/>
      <c r="I23" s="6"/>
      <c r="J23" s="18"/>
      <c r="K23" s="6"/>
      <c r="L23" s="6"/>
      <c r="M23" s="6"/>
      <c r="N23" s="6"/>
      <c r="O23" s="19"/>
      <c r="P23" s="6"/>
      <c r="Q23" s="18"/>
      <c r="R23" s="6"/>
      <c r="S23" s="6"/>
      <c r="T23" s="6"/>
      <c r="U23" s="6"/>
      <c r="V23" s="19"/>
    </row>
    <row r="24" spans="2:22" x14ac:dyDescent="0.3">
      <c r="B24" s="18"/>
      <c r="C24" s="6"/>
      <c r="D24" s="6"/>
      <c r="E24" s="6"/>
      <c r="F24" s="6"/>
      <c r="G24" s="19"/>
      <c r="H24" s="6"/>
      <c r="I24" s="6" t="s">
        <v>164</v>
      </c>
      <c r="J24" s="18"/>
      <c r="K24" s="6"/>
      <c r="L24" s="6"/>
      <c r="M24" s="6"/>
      <c r="N24" s="6"/>
      <c r="O24" s="19"/>
      <c r="P24" s="6"/>
      <c r="Q24" s="18"/>
      <c r="R24" s="6"/>
      <c r="S24" s="6"/>
      <c r="T24" s="6"/>
      <c r="U24" s="6"/>
      <c r="V24" s="19"/>
    </row>
    <row r="25" spans="2:22" x14ac:dyDescent="0.3">
      <c r="B25" s="18"/>
      <c r="C25" s="6"/>
      <c r="D25" s="6"/>
      <c r="E25" s="6"/>
      <c r="F25" s="6"/>
      <c r="G25" s="19"/>
      <c r="H25" s="6"/>
      <c r="I25" s="6" t="s">
        <v>163</v>
      </c>
      <c r="J25" s="18"/>
      <c r="K25" s="6"/>
      <c r="L25" s="6"/>
      <c r="M25" s="6"/>
      <c r="N25" s="6"/>
      <c r="O25" s="19"/>
      <c r="P25" s="6"/>
      <c r="Q25" s="18"/>
      <c r="R25" s="6"/>
      <c r="S25" s="6"/>
      <c r="T25" s="6"/>
      <c r="U25" s="6"/>
      <c r="V25" s="19"/>
    </row>
    <row r="26" spans="2:22" x14ac:dyDescent="0.3">
      <c r="B26" s="18"/>
      <c r="C26" s="6"/>
      <c r="D26" s="6"/>
      <c r="E26" s="6"/>
      <c r="F26" s="6"/>
      <c r="G26" s="19"/>
      <c r="H26" s="6"/>
      <c r="I26" s="6" t="s">
        <v>162</v>
      </c>
      <c r="J26" s="18"/>
      <c r="K26" s="6"/>
      <c r="L26" s="6"/>
      <c r="M26" s="6"/>
      <c r="N26" s="6"/>
      <c r="O26" s="19"/>
      <c r="P26" s="6"/>
      <c r="Q26" s="18"/>
      <c r="R26" s="6"/>
      <c r="S26" s="6"/>
      <c r="T26" s="6"/>
      <c r="U26" s="6"/>
      <c r="V26" s="19"/>
    </row>
    <row r="27" spans="2:22" x14ac:dyDescent="0.3">
      <c r="B27" s="20"/>
      <c r="C27" s="21"/>
      <c r="D27" s="21"/>
      <c r="E27" s="21"/>
      <c r="F27" s="21"/>
      <c r="G27" s="22"/>
      <c r="H27" s="6"/>
      <c r="I27" s="6" t="s">
        <v>161</v>
      </c>
      <c r="J27" s="20"/>
      <c r="K27" s="21"/>
      <c r="L27" s="21"/>
      <c r="M27" s="21"/>
      <c r="N27" s="21"/>
      <c r="O27" s="22"/>
      <c r="P27" s="6"/>
      <c r="Q27" s="20"/>
      <c r="R27" s="21"/>
      <c r="S27" s="21"/>
      <c r="T27" s="21"/>
      <c r="U27" s="21"/>
      <c r="V27" s="22"/>
    </row>
    <row r="28" spans="2:22" x14ac:dyDescent="0.3">
      <c r="B28" s="5"/>
      <c r="C28" s="6"/>
      <c r="D28" s="6"/>
      <c r="E28" s="6"/>
      <c r="F28" s="6"/>
      <c r="G28" s="6"/>
      <c r="H28" s="6"/>
      <c r="I28" s="6"/>
      <c r="J28" s="5"/>
      <c r="K28" s="6"/>
      <c r="L28" s="6"/>
      <c r="M28" s="6"/>
      <c r="N28" s="6"/>
      <c r="O28" s="6"/>
      <c r="P28" s="6"/>
      <c r="Q28" s="6"/>
      <c r="R28" s="6"/>
      <c r="S28" s="6"/>
      <c r="T28" s="6"/>
      <c r="U28" s="6"/>
      <c r="V28" s="6"/>
    </row>
    <row r="29" spans="2:22" x14ac:dyDescent="0.3">
      <c r="B29" s="5"/>
      <c r="C29" s="6"/>
      <c r="D29" s="6"/>
      <c r="E29" s="6"/>
      <c r="F29" s="6"/>
      <c r="G29" s="6"/>
      <c r="H29" s="6"/>
      <c r="I29" s="6"/>
      <c r="J29" s="6"/>
      <c r="K29" s="6"/>
      <c r="L29" s="6"/>
      <c r="M29" s="6"/>
      <c r="N29" s="6"/>
      <c r="O29" s="6"/>
      <c r="P29" s="6"/>
      <c r="Q29" s="6"/>
      <c r="R29" s="6"/>
      <c r="S29" s="6"/>
      <c r="T29" s="6"/>
      <c r="U29" s="6"/>
      <c r="V29" s="6"/>
    </row>
    <row r="30" spans="2:22" ht="23.4" x14ac:dyDescent="0.3">
      <c r="B30" s="44" t="s">
        <v>0</v>
      </c>
      <c r="C30" s="45"/>
      <c r="D30" s="45"/>
      <c r="E30" s="45"/>
      <c r="F30" s="45"/>
      <c r="G30" s="46"/>
      <c r="H30" s="6"/>
      <c r="J30" s="44" t="s">
        <v>155</v>
      </c>
      <c r="K30" s="45"/>
      <c r="L30" s="45"/>
      <c r="M30" s="45"/>
      <c r="N30" s="45"/>
      <c r="O30" s="46"/>
      <c r="P30" s="6"/>
      <c r="Q30" s="44" t="s">
        <v>517</v>
      </c>
      <c r="R30" s="45"/>
      <c r="S30" s="45"/>
      <c r="T30" s="45"/>
      <c r="U30" s="45"/>
      <c r="V30" s="46"/>
    </row>
    <row r="31" spans="2:22" ht="28.8" x14ac:dyDescent="0.3">
      <c r="B31" s="40" t="s">
        <v>150</v>
      </c>
      <c r="C31" s="40" t="s">
        <v>1</v>
      </c>
      <c r="D31" s="41" t="s">
        <v>2</v>
      </c>
      <c r="E31" s="41" t="s">
        <v>3</v>
      </c>
      <c r="F31" s="41" t="s">
        <v>202</v>
      </c>
      <c r="G31" s="41" t="s">
        <v>59</v>
      </c>
      <c r="H31" s="6"/>
      <c r="J31" s="40" t="s">
        <v>150</v>
      </c>
      <c r="K31" s="40" t="s">
        <v>507</v>
      </c>
      <c r="L31" s="41"/>
      <c r="M31" s="41" t="s">
        <v>509</v>
      </c>
      <c r="N31" s="41" t="s">
        <v>202</v>
      </c>
      <c r="O31" s="41" t="s">
        <v>59</v>
      </c>
      <c r="P31" s="6"/>
      <c r="Q31" s="40" t="s">
        <v>150</v>
      </c>
      <c r="R31" s="40" t="s">
        <v>392</v>
      </c>
      <c r="S31" s="41" t="s">
        <v>393</v>
      </c>
      <c r="T31" s="41" t="s">
        <v>394</v>
      </c>
      <c r="U31" s="41" t="s">
        <v>202</v>
      </c>
      <c r="V31" s="41" t="s">
        <v>59</v>
      </c>
    </row>
    <row r="32" spans="2:22" x14ac:dyDescent="0.3">
      <c r="B32" s="8">
        <f>Questions!$F$2</f>
        <v>2023</v>
      </c>
      <c r="C32" s="8">
        <f>COUNTIF(commitment_1,10)</f>
        <v>0</v>
      </c>
      <c r="D32" s="8">
        <f>COUNTIF(commitment_1,5)</f>
        <v>0</v>
      </c>
      <c r="E32" s="8">
        <f>COUNTIF(commitment_1,0)</f>
        <v>0</v>
      </c>
      <c r="F32" s="8">
        <f>COUNTIF(commitment_1,"")</f>
        <v>15</v>
      </c>
      <c r="G32" s="8">
        <f>SUM(C32:F32)</f>
        <v>15</v>
      </c>
      <c r="H32" s="6"/>
      <c r="I32" t="s">
        <v>167</v>
      </c>
      <c r="J32" s="8">
        <f>Questions!$F$2</f>
        <v>2023</v>
      </c>
      <c r="K32" s="8">
        <f>COUNTIF(record_1,10)</f>
        <v>0</v>
      </c>
      <c r="L32" s="9"/>
      <c r="M32" s="8">
        <f>COUNTIF(record_1,0)</f>
        <v>0</v>
      </c>
      <c r="N32" s="8">
        <f>COUNTIF(record_1,"")</f>
        <v>21</v>
      </c>
      <c r="O32" s="8">
        <f>SUM(K32:N32)</f>
        <v>21</v>
      </c>
      <c r="P32" s="6"/>
      <c r="Q32" s="8">
        <f>Questions!$F$2</f>
        <v>2023</v>
      </c>
      <c r="R32" s="8">
        <f>COUNTIF(work_1,10)</f>
        <v>0</v>
      </c>
      <c r="S32" s="8">
        <f>COUNTIF(work_1,5)</f>
        <v>0</v>
      </c>
      <c r="T32" s="8">
        <f>COUNTIF(work_1,0)</f>
        <v>0</v>
      </c>
      <c r="U32" s="8">
        <f>COUNTIF(work_1,"")</f>
        <v>20</v>
      </c>
      <c r="V32" s="8">
        <f>SUM(R32:U32)</f>
        <v>20</v>
      </c>
    </row>
    <row r="33" spans="2:22" x14ac:dyDescent="0.3">
      <c r="B33" s="8">
        <f>Questions!$H$2</f>
        <v>2024</v>
      </c>
      <c r="C33" s="8">
        <f>COUNTIF(commitment_2,10)</f>
        <v>0</v>
      </c>
      <c r="D33" s="8">
        <f>COUNTIF(commitment_2,5)</f>
        <v>0</v>
      </c>
      <c r="E33" s="8">
        <f>COUNTIF(commitment_2,0)</f>
        <v>0</v>
      </c>
      <c r="F33" s="8">
        <f>COUNTIF(commitment_2,"")</f>
        <v>15</v>
      </c>
      <c r="G33" s="8">
        <f>SUM(C33:F33)</f>
        <v>15</v>
      </c>
      <c r="H33" s="6"/>
      <c r="I33" t="s">
        <v>168</v>
      </c>
      <c r="J33" s="8">
        <f>Questions!$H$2</f>
        <v>2024</v>
      </c>
      <c r="K33" s="8">
        <f>COUNTIF(record_2,10)</f>
        <v>0</v>
      </c>
      <c r="L33" s="9"/>
      <c r="M33" s="8">
        <f>COUNTIF(record_2,0)</f>
        <v>0</v>
      </c>
      <c r="N33" s="8">
        <f>COUNTIF(record_2,"")</f>
        <v>21</v>
      </c>
      <c r="O33" s="8">
        <f>SUM(K33:N33)</f>
        <v>21</v>
      </c>
      <c r="P33" s="6"/>
      <c r="Q33" s="8">
        <f>Questions!$H$2</f>
        <v>2024</v>
      </c>
      <c r="R33" s="8">
        <f>COUNTIF(work_2,10)</f>
        <v>0</v>
      </c>
      <c r="S33" s="8">
        <f>COUNTIF(work_2,5)</f>
        <v>0</v>
      </c>
      <c r="T33" s="8">
        <f>COUNTIF(work_2,0)</f>
        <v>0</v>
      </c>
      <c r="U33" s="8">
        <f>COUNTIF(work_2,"")</f>
        <v>20</v>
      </c>
      <c r="V33" s="8">
        <f>SUM(R33:U33)</f>
        <v>20</v>
      </c>
    </row>
    <row r="34" spans="2:22" x14ac:dyDescent="0.3">
      <c r="B34" s="8">
        <f>Questions!$J$2</f>
        <v>2025</v>
      </c>
      <c r="C34" s="8">
        <f>COUNTIF(commitment_3,10)</f>
        <v>0</v>
      </c>
      <c r="D34" s="8">
        <f>COUNTIF(commitment_3,5)</f>
        <v>0</v>
      </c>
      <c r="E34" s="8">
        <f>COUNTIF(commitment_3,0)</f>
        <v>0</v>
      </c>
      <c r="F34" s="8">
        <f>COUNTIF(commitment_3,"")</f>
        <v>15</v>
      </c>
      <c r="G34" s="8">
        <f>SUM(C34:F34)</f>
        <v>15</v>
      </c>
      <c r="H34" s="6"/>
      <c r="I34" t="s">
        <v>169</v>
      </c>
      <c r="J34" s="8">
        <f>Questions!$J$2</f>
        <v>2025</v>
      </c>
      <c r="K34" s="8">
        <f>COUNTIF(record_3,10)</f>
        <v>0</v>
      </c>
      <c r="L34" s="9"/>
      <c r="M34" s="8">
        <f>COUNTIF(record_3,0)</f>
        <v>0</v>
      </c>
      <c r="N34" s="8">
        <f>COUNTIF(record_3,"")</f>
        <v>21</v>
      </c>
      <c r="O34" s="8">
        <f>SUM(K34:N34)</f>
        <v>21</v>
      </c>
      <c r="P34" s="6"/>
      <c r="Q34" s="8">
        <f>Questions!$J$2</f>
        <v>2025</v>
      </c>
      <c r="R34" s="8">
        <f>COUNTIF(work_3,10)</f>
        <v>0</v>
      </c>
      <c r="S34" s="8">
        <f>COUNTIF(work_3,5)</f>
        <v>0</v>
      </c>
      <c r="T34" s="8">
        <f>COUNTIF(work_3,0)</f>
        <v>0</v>
      </c>
      <c r="U34" s="8">
        <f>COUNTIF(work_3,"")</f>
        <v>20</v>
      </c>
      <c r="V34" s="8">
        <f>SUM(R34:U34)</f>
        <v>20</v>
      </c>
    </row>
    <row r="35" spans="2:22" x14ac:dyDescent="0.3">
      <c r="B35" s="8">
        <f>Questions!$L$2</f>
        <v>2026</v>
      </c>
      <c r="C35" s="8">
        <f>COUNTIF(commitment_4,10)</f>
        <v>0</v>
      </c>
      <c r="D35" s="8">
        <f>COUNTIF(commitment_4,5)</f>
        <v>0</v>
      </c>
      <c r="E35" s="8">
        <f>COUNTIF(commitment_4,0)</f>
        <v>0</v>
      </c>
      <c r="F35" s="8">
        <f>COUNTIF(commitment_4,"")</f>
        <v>15</v>
      </c>
      <c r="G35" s="8">
        <f>SUM(C35:F35)</f>
        <v>15</v>
      </c>
      <c r="H35" s="6"/>
      <c r="I35" t="s">
        <v>170</v>
      </c>
      <c r="J35" s="8">
        <f>Questions!$L$2</f>
        <v>2026</v>
      </c>
      <c r="K35" s="8">
        <f>COUNTIF(record_4,10)</f>
        <v>0</v>
      </c>
      <c r="L35" s="9"/>
      <c r="M35" s="8">
        <f>COUNTIF(record_4,0)</f>
        <v>0</v>
      </c>
      <c r="N35" s="8">
        <f>COUNTIF(record_4,"")</f>
        <v>21</v>
      </c>
      <c r="O35" s="8">
        <f>SUM(K35:N35)</f>
        <v>21</v>
      </c>
      <c r="P35" s="6"/>
      <c r="Q35" s="8">
        <f>Questions!$L$2</f>
        <v>2026</v>
      </c>
      <c r="R35" s="8">
        <f>COUNTIF(work_4,10)</f>
        <v>0</v>
      </c>
      <c r="S35" s="8">
        <f>COUNTIF(work_4,5)</f>
        <v>0</v>
      </c>
      <c r="T35" s="8">
        <f>COUNTIF(work_4,0)</f>
        <v>0</v>
      </c>
      <c r="U35" s="8">
        <f>COUNTIF(work_4,"")</f>
        <v>20</v>
      </c>
      <c r="V35" s="8">
        <f>SUM(R35:U35)</f>
        <v>20</v>
      </c>
    </row>
    <row r="36" spans="2:22" x14ac:dyDescent="0.3">
      <c r="B36" s="23">
        <f>Questions!$N$2</f>
        <v>2027</v>
      </c>
      <c r="C36" s="23">
        <f>COUNTIF(commitment_5,10)</f>
        <v>0</v>
      </c>
      <c r="D36" s="23">
        <f>COUNTIF(commitment_5,5)</f>
        <v>0</v>
      </c>
      <c r="E36" s="23">
        <f>COUNTIF(commitment_5,0)</f>
        <v>0</v>
      </c>
      <c r="F36" s="23">
        <f>COUNTIF(commitment_5,"")</f>
        <v>15</v>
      </c>
      <c r="G36" s="23">
        <f>SUM(C36:F36)</f>
        <v>15</v>
      </c>
      <c r="H36" s="6"/>
      <c r="I36" t="s">
        <v>171</v>
      </c>
      <c r="J36" s="8">
        <f>Questions!$N$2</f>
        <v>2027</v>
      </c>
      <c r="K36" s="8">
        <f>COUNTIF(record_5,10)</f>
        <v>0</v>
      </c>
      <c r="L36" s="9"/>
      <c r="M36" s="8">
        <f>COUNTIF(record_5,0)</f>
        <v>0</v>
      </c>
      <c r="N36" s="8">
        <f>COUNTIF(record_5,"")</f>
        <v>21</v>
      </c>
      <c r="O36" s="8">
        <f>SUM(K36:N36)</f>
        <v>21</v>
      </c>
      <c r="P36" s="6"/>
      <c r="Q36" s="8">
        <f>Questions!$N$2</f>
        <v>2027</v>
      </c>
      <c r="R36" s="8">
        <f>COUNTIF(work_5,10)</f>
        <v>0</v>
      </c>
      <c r="S36" s="8">
        <f>COUNTIF(work_5,5)</f>
        <v>0</v>
      </c>
      <c r="T36" s="8">
        <f>COUNTIF(work_5,0)</f>
        <v>0</v>
      </c>
      <c r="U36" s="8">
        <f>COUNTIF(work_5,"")</f>
        <v>20</v>
      </c>
      <c r="V36" s="8">
        <f>SUM(R36:U36)</f>
        <v>20</v>
      </c>
    </row>
    <row r="37" spans="2:22" x14ac:dyDescent="0.3">
      <c r="B37" s="15"/>
      <c r="C37" s="16"/>
      <c r="D37" s="16"/>
      <c r="E37" s="16"/>
      <c r="F37" s="16"/>
      <c r="G37" s="17"/>
      <c r="H37" s="6"/>
      <c r="I37" s="6"/>
      <c r="J37" s="15"/>
      <c r="K37" s="16"/>
      <c r="L37" s="16"/>
      <c r="M37" s="16"/>
      <c r="N37" s="16"/>
      <c r="O37" s="17"/>
      <c r="P37" s="6"/>
      <c r="Q37" s="15"/>
      <c r="R37" s="16"/>
      <c r="S37" s="16"/>
      <c r="T37" s="16"/>
      <c r="U37" s="16"/>
      <c r="V37" s="17"/>
    </row>
    <row r="38" spans="2:22" x14ac:dyDescent="0.3">
      <c r="B38" s="18"/>
      <c r="C38" s="6"/>
      <c r="D38" s="6"/>
      <c r="E38" s="6"/>
      <c r="F38" s="6"/>
      <c r="G38" s="19"/>
      <c r="H38" s="6"/>
      <c r="I38" s="6"/>
      <c r="J38" s="18"/>
      <c r="K38" s="6"/>
      <c r="L38" s="6"/>
      <c r="M38" s="6"/>
      <c r="N38" s="6"/>
      <c r="O38" s="19"/>
      <c r="P38" s="6"/>
      <c r="Q38" s="18"/>
      <c r="R38" s="6"/>
      <c r="S38" s="6"/>
      <c r="T38" s="6"/>
      <c r="U38" s="6"/>
      <c r="V38" s="19"/>
    </row>
    <row r="39" spans="2:22" x14ac:dyDescent="0.3">
      <c r="B39" s="18"/>
      <c r="C39" s="6"/>
      <c r="D39" s="6"/>
      <c r="E39" s="6"/>
      <c r="F39" s="6"/>
      <c r="G39" s="19"/>
      <c r="H39" s="6"/>
      <c r="I39" s="6"/>
      <c r="J39" s="18"/>
      <c r="K39" s="6"/>
      <c r="L39" s="6"/>
      <c r="M39" s="6"/>
      <c r="N39" s="6"/>
      <c r="O39" s="19"/>
      <c r="P39" s="6"/>
      <c r="Q39" s="18"/>
      <c r="R39" s="6"/>
      <c r="S39" s="6"/>
      <c r="T39" s="6"/>
      <c r="U39" s="6"/>
      <c r="V39" s="19"/>
    </row>
    <row r="40" spans="2:22" x14ac:dyDescent="0.3">
      <c r="B40" s="18"/>
      <c r="C40" s="6"/>
      <c r="D40" s="6"/>
      <c r="E40" s="6"/>
      <c r="F40" s="6"/>
      <c r="G40" s="19"/>
      <c r="H40" s="6"/>
      <c r="I40" s="6"/>
      <c r="J40" s="18"/>
      <c r="K40" s="6"/>
      <c r="L40" s="6"/>
      <c r="M40" s="6"/>
      <c r="N40" s="6"/>
      <c r="O40" s="19"/>
      <c r="P40" s="6"/>
      <c r="Q40" s="18"/>
      <c r="R40" s="6"/>
      <c r="S40" s="6"/>
      <c r="T40" s="6"/>
      <c r="U40" s="6"/>
      <c r="V40" s="19"/>
    </row>
    <row r="41" spans="2:22" x14ac:dyDescent="0.3">
      <c r="B41" s="18"/>
      <c r="C41" s="6"/>
      <c r="D41" s="6"/>
      <c r="E41" s="6"/>
      <c r="F41" s="6"/>
      <c r="G41" s="19"/>
      <c r="H41" s="6"/>
      <c r="I41" s="6"/>
      <c r="J41" s="18"/>
      <c r="K41" s="6"/>
      <c r="L41" s="6"/>
      <c r="M41" s="6"/>
      <c r="N41" s="6"/>
      <c r="O41" s="19"/>
      <c r="P41" s="6"/>
      <c r="Q41" s="18"/>
      <c r="R41" s="6"/>
      <c r="S41" s="6"/>
      <c r="T41" s="6"/>
      <c r="U41" s="6"/>
      <c r="V41" s="19"/>
    </row>
    <row r="42" spans="2:22" x14ac:dyDescent="0.3">
      <c r="B42" s="18"/>
      <c r="C42" s="6"/>
      <c r="D42" s="6"/>
      <c r="E42" s="6"/>
      <c r="F42" s="6"/>
      <c r="G42" s="19"/>
      <c r="H42" s="6"/>
      <c r="I42" s="6"/>
      <c r="J42" s="18"/>
      <c r="K42" s="6"/>
      <c r="L42" s="6"/>
      <c r="M42" s="6"/>
      <c r="N42" s="6"/>
      <c r="O42" s="19"/>
      <c r="P42" s="6"/>
      <c r="Q42" s="18"/>
      <c r="R42" s="6"/>
      <c r="S42" s="6"/>
      <c r="T42" s="6"/>
      <c r="U42" s="6"/>
      <c r="V42" s="19"/>
    </row>
    <row r="43" spans="2:22" x14ac:dyDescent="0.3">
      <c r="B43" s="18"/>
      <c r="C43" s="6"/>
      <c r="D43" s="6"/>
      <c r="E43" s="6"/>
      <c r="F43" s="6"/>
      <c r="G43" s="19"/>
      <c r="H43" s="6"/>
      <c r="I43" s="6"/>
      <c r="J43" s="18"/>
      <c r="K43" s="6"/>
      <c r="L43" s="6"/>
      <c r="M43" s="6"/>
      <c r="N43" s="6"/>
      <c r="O43" s="19"/>
      <c r="P43" s="6"/>
      <c r="Q43" s="18"/>
      <c r="R43" s="6"/>
      <c r="S43" s="6"/>
      <c r="T43" s="6"/>
      <c r="U43" s="6"/>
      <c r="V43" s="19"/>
    </row>
    <row r="44" spans="2:22" x14ac:dyDescent="0.3">
      <c r="B44" s="18"/>
      <c r="C44" s="6"/>
      <c r="D44" s="6"/>
      <c r="E44" s="6"/>
      <c r="F44" s="6"/>
      <c r="G44" s="19"/>
      <c r="H44" s="6"/>
      <c r="I44" s="6"/>
      <c r="J44" s="18"/>
      <c r="K44" s="6"/>
      <c r="L44" s="6"/>
      <c r="M44" s="6"/>
      <c r="N44" s="6"/>
      <c r="O44" s="19"/>
      <c r="P44" s="6"/>
      <c r="Q44" s="18"/>
      <c r="R44" s="6"/>
      <c r="S44" s="6"/>
      <c r="T44" s="6"/>
      <c r="U44" s="6"/>
      <c r="V44" s="19"/>
    </row>
    <row r="45" spans="2:22" x14ac:dyDescent="0.3">
      <c r="B45" s="18"/>
      <c r="C45" s="6"/>
      <c r="D45" s="6"/>
      <c r="E45" s="6"/>
      <c r="F45" s="6"/>
      <c r="G45" s="19"/>
      <c r="H45" s="6"/>
      <c r="I45" s="6"/>
      <c r="J45" s="18"/>
      <c r="K45" s="6"/>
      <c r="L45" s="6"/>
      <c r="M45" s="6"/>
      <c r="N45" s="6"/>
      <c r="O45" s="19"/>
      <c r="P45" s="6"/>
      <c r="Q45" s="18"/>
      <c r="R45" s="6"/>
      <c r="S45" s="6"/>
      <c r="T45" s="6"/>
      <c r="U45" s="6"/>
      <c r="V45" s="19"/>
    </row>
    <row r="46" spans="2:22" x14ac:dyDescent="0.3">
      <c r="B46" s="18"/>
      <c r="C46" s="6"/>
      <c r="D46" s="6"/>
      <c r="E46" s="6"/>
      <c r="F46" s="6"/>
      <c r="G46" s="19"/>
      <c r="H46" s="6"/>
      <c r="I46" s="6"/>
      <c r="J46" s="18"/>
      <c r="K46" s="6"/>
      <c r="L46" s="6"/>
      <c r="M46" s="6"/>
      <c r="N46" s="6"/>
      <c r="O46" s="19"/>
      <c r="P46" s="6"/>
      <c r="Q46" s="18"/>
      <c r="R46" s="6"/>
      <c r="S46" s="6"/>
      <c r="T46" s="6"/>
      <c r="U46" s="6"/>
      <c r="V46" s="19"/>
    </row>
    <row r="47" spans="2:22" x14ac:dyDescent="0.3">
      <c r="B47" s="18"/>
      <c r="C47" s="6"/>
      <c r="D47" s="6"/>
      <c r="E47" s="6"/>
      <c r="F47" s="6"/>
      <c r="G47" s="19"/>
      <c r="H47" s="6"/>
      <c r="I47" s="6"/>
      <c r="J47" s="18"/>
      <c r="K47" s="6"/>
      <c r="L47" s="6"/>
      <c r="M47" s="6"/>
      <c r="N47" s="6"/>
      <c r="O47" s="19"/>
      <c r="P47" s="6"/>
      <c r="Q47" s="18"/>
      <c r="R47" s="6"/>
      <c r="S47" s="6"/>
      <c r="T47" s="6"/>
      <c r="U47" s="6"/>
      <c r="V47" s="19"/>
    </row>
    <row r="48" spans="2:22" x14ac:dyDescent="0.3">
      <c r="B48" s="18"/>
      <c r="C48" s="6"/>
      <c r="D48" s="6"/>
      <c r="E48" s="6"/>
      <c r="F48" s="6"/>
      <c r="G48" s="19"/>
      <c r="H48" s="6"/>
      <c r="I48" s="6"/>
      <c r="J48" s="18"/>
      <c r="K48" s="6"/>
      <c r="L48" s="6"/>
      <c r="M48" s="6"/>
      <c r="N48" s="6"/>
      <c r="O48" s="19"/>
      <c r="P48" s="6"/>
      <c r="Q48" s="18"/>
      <c r="R48" s="6"/>
      <c r="S48" s="6"/>
      <c r="T48" s="6"/>
      <c r="U48" s="6"/>
      <c r="V48" s="19"/>
    </row>
    <row r="49" spans="2:22" x14ac:dyDescent="0.3">
      <c r="B49" s="18"/>
      <c r="C49" s="6"/>
      <c r="D49" s="6"/>
      <c r="E49" s="6"/>
      <c r="F49" s="6"/>
      <c r="G49" s="19"/>
      <c r="H49" s="6"/>
      <c r="I49" s="6"/>
      <c r="J49" s="18"/>
      <c r="K49" s="6"/>
      <c r="L49" s="6"/>
      <c r="M49" s="6"/>
      <c r="N49" s="6"/>
      <c r="O49" s="19"/>
      <c r="P49" s="6"/>
      <c r="Q49" s="18"/>
      <c r="R49" s="6"/>
      <c r="S49" s="6"/>
      <c r="T49" s="6"/>
      <c r="U49" s="6"/>
      <c r="V49" s="19"/>
    </row>
    <row r="50" spans="2:22" x14ac:dyDescent="0.3">
      <c r="B50" s="18"/>
      <c r="C50" s="6"/>
      <c r="D50" s="6"/>
      <c r="E50" s="6"/>
      <c r="F50" s="6"/>
      <c r="G50" s="19"/>
      <c r="H50" s="6"/>
      <c r="I50" s="6"/>
      <c r="J50" s="18"/>
      <c r="K50" s="6"/>
      <c r="L50" s="6"/>
      <c r="M50" s="6"/>
      <c r="N50" s="6"/>
      <c r="O50" s="19"/>
      <c r="P50" s="6"/>
      <c r="Q50" s="18"/>
      <c r="R50" s="6"/>
      <c r="S50" s="6"/>
      <c r="T50" s="6"/>
      <c r="U50" s="6"/>
      <c r="V50" s="19"/>
    </row>
    <row r="51" spans="2:22" x14ac:dyDescent="0.3">
      <c r="B51" s="18"/>
      <c r="C51" s="6"/>
      <c r="D51" s="6"/>
      <c r="E51" s="6"/>
      <c r="F51" s="6"/>
      <c r="G51" s="19"/>
      <c r="H51" s="6"/>
      <c r="I51" s="6" t="s">
        <v>172</v>
      </c>
      <c r="J51" s="18"/>
      <c r="K51" s="6"/>
      <c r="L51" s="6"/>
      <c r="M51" s="6"/>
      <c r="N51" s="6"/>
      <c r="O51" s="19"/>
      <c r="P51" s="6"/>
      <c r="Q51" s="18"/>
      <c r="R51" s="6"/>
      <c r="S51" s="6"/>
      <c r="T51" s="6"/>
      <c r="U51" s="6"/>
      <c r="V51" s="19"/>
    </row>
    <row r="52" spans="2:22" x14ac:dyDescent="0.3">
      <c r="B52" s="18"/>
      <c r="C52" s="6"/>
      <c r="D52" s="6"/>
      <c r="E52" s="6"/>
      <c r="F52" s="6"/>
      <c r="G52" s="19"/>
      <c r="H52" s="6"/>
      <c r="I52" s="6" t="s">
        <v>173</v>
      </c>
      <c r="J52" s="18"/>
      <c r="K52" s="6"/>
      <c r="L52" s="6"/>
      <c r="M52" s="6"/>
      <c r="N52" s="6"/>
      <c r="O52" s="19"/>
      <c r="P52" s="6"/>
      <c r="Q52" s="18"/>
      <c r="R52" s="6"/>
      <c r="S52" s="6"/>
      <c r="T52" s="6"/>
      <c r="U52" s="6"/>
      <c r="V52" s="19"/>
    </row>
    <row r="53" spans="2:22" x14ac:dyDescent="0.3">
      <c r="B53" s="20"/>
      <c r="C53" s="21"/>
      <c r="D53" s="21"/>
      <c r="E53" s="21"/>
      <c r="F53" s="21"/>
      <c r="G53" s="22"/>
      <c r="H53" s="6"/>
      <c r="I53" s="6"/>
      <c r="J53" s="20"/>
      <c r="K53" s="21"/>
      <c r="L53" s="21"/>
      <c r="M53" s="21"/>
      <c r="N53" s="21"/>
      <c r="O53" s="22"/>
      <c r="P53" s="6"/>
      <c r="Q53" s="20"/>
      <c r="R53" s="21"/>
      <c r="S53" s="21"/>
      <c r="T53" s="21"/>
      <c r="U53" s="21"/>
      <c r="V53" s="22"/>
    </row>
    <row r="54" spans="2:22" x14ac:dyDescent="0.3">
      <c r="B54" s="5"/>
      <c r="C54" s="6"/>
      <c r="D54" s="6"/>
      <c r="E54" s="6"/>
      <c r="F54" s="6"/>
      <c r="G54" s="6"/>
      <c r="H54" s="6"/>
      <c r="I54" s="6" t="s">
        <v>174</v>
      </c>
      <c r="J54" s="6"/>
      <c r="K54" s="6"/>
      <c r="L54" s="6"/>
      <c r="M54" s="6"/>
      <c r="N54" s="6"/>
      <c r="O54" s="6"/>
      <c r="P54" s="6"/>
      <c r="Q54" s="6"/>
      <c r="R54" s="6"/>
      <c r="S54" s="6"/>
      <c r="T54" s="6"/>
      <c r="U54" s="6"/>
      <c r="V54" s="6"/>
    </row>
    <row r="55" spans="2:22" x14ac:dyDescent="0.3">
      <c r="B55" s="5"/>
      <c r="C55" s="6"/>
      <c r="D55" s="6"/>
      <c r="E55" s="6"/>
      <c r="F55" s="6"/>
      <c r="G55" s="6"/>
      <c r="H55" s="6"/>
      <c r="I55" s="6" t="s">
        <v>175</v>
      </c>
      <c r="J55" s="6"/>
      <c r="K55" s="6"/>
      <c r="L55" s="6"/>
      <c r="M55" s="6"/>
      <c r="N55" s="6"/>
      <c r="O55" s="6"/>
      <c r="P55" s="6"/>
      <c r="Q55" s="6"/>
      <c r="R55" s="6"/>
      <c r="S55" s="6"/>
      <c r="T55" s="6"/>
      <c r="U55" s="6"/>
      <c r="V55" s="6"/>
    </row>
    <row r="56" spans="2:22" ht="23.4" x14ac:dyDescent="0.3">
      <c r="B56" s="44" t="s">
        <v>122</v>
      </c>
      <c r="C56" s="45"/>
      <c r="D56" s="45"/>
      <c r="E56" s="45"/>
      <c r="F56" s="45"/>
      <c r="G56" s="46"/>
      <c r="H56" s="6"/>
      <c r="I56" t="s">
        <v>176</v>
      </c>
      <c r="J56" s="44" t="s">
        <v>154</v>
      </c>
      <c r="K56" s="45"/>
      <c r="L56" s="45"/>
      <c r="M56" s="45"/>
      <c r="N56" s="45"/>
      <c r="O56" s="46"/>
      <c r="P56" s="6"/>
      <c r="Q56" s="44" t="s">
        <v>149</v>
      </c>
      <c r="R56" s="45"/>
      <c r="S56" s="45"/>
      <c r="T56" s="45"/>
      <c r="U56" s="45"/>
      <c r="V56" s="46"/>
    </row>
    <row r="57" spans="2:22" ht="28.8" x14ac:dyDescent="0.3">
      <c r="B57" s="40" t="s">
        <v>150</v>
      </c>
      <c r="C57" s="40" t="s">
        <v>1</v>
      </c>
      <c r="D57" s="41" t="s">
        <v>2</v>
      </c>
      <c r="E57" s="41" t="s">
        <v>3</v>
      </c>
      <c r="F57" s="41" t="s">
        <v>202</v>
      </c>
      <c r="G57" s="41" t="s">
        <v>59</v>
      </c>
      <c r="H57" s="6"/>
      <c r="J57" s="40" t="s">
        <v>150</v>
      </c>
      <c r="K57" s="40" t="s">
        <v>507</v>
      </c>
      <c r="L57" s="41" t="s">
        <v>508</v>
      </c>
      <c r="M57" s="41" t="s">
        <v>509</v>
      </c>
      <c r="N57" s="41" t="s">
        <v>202</v>
      </c>
      <c r="O57" s="41" t="s">
        <v>59</v>
      </c>
      <c r="P57" s="6"/>
      <c r="Q57" s="40" t="s">
        <v>150</v>
      </c>
      <c r="R57" s="40" t="s">
        <v>1</v>
      </c>
      <c r="S57" s="41" t="s">
        <v>2</v>
      </c>
      <c r="T57" s="41" t="s">
        <v>3</v>
      </c>
      <c r="U57" s="41" t="s">
        <v>202</v>
      </c>
      <c r="V57" s="41" t="s">
        <v>59</v>
      </c>
    </row>
    <row r="58" spans="2:22" x14ac:dyDescent="0.3">
      <c r="B58" s="8">
        <f>Questions!$F$2</f>
        <v>2023</v>
      </c>
      <c r="C58" s="8">
        <f>COUNTIF(roles_1,10)</f>
        <v>0</v>
      </c>
      <c r="D58" s="8">
        <f>COUNTIF(roles_1,5)</f>
        <v>0</v>
      </c>
      <c r="E58" s="8">
        <f>COUNTIF(roles_1,0)</f>
        <v>0</v>
      </c>
      <c r="F58" s="8">
        <f>COUNTIF(roles_1,"")</f>
        <v>21</v>
      </c>
      <c r="G58" s="8">
        <f>SUM(C58:F58)</f>
        <v>21</v>
      </c>
      <c r="H58" s="6"/>
      <c r="J58" s="8">
        <f>Questions!$F$2</f>
        <v>2023</v>
      </c>
      <c r="K58" s="8">
        <f>COUNTIF(safety_1,10)</f>
        <v>0</v>
      </c>
      <c r="L58" s="8">
        <f>COUNTIF(safety_1,5)</f>
        <v>0</v>
      </c>
      <c r="M58" s="8">
        <f>COUNTIF(safety_1,0)</f>
        <v>0</v>
      </c>
      <c r="N58" s="8">
        <f>COUNTIF(safety_1,"")</f>
        <v>27</v>
      </c>
      <c r="O58" s="8">
        <f>SUM(K58:N58)</f>
        <v>27</v>
      </c>
      <c r="P58" s="6"/>
      <c r="Q58" s="8">
        <f>Questions!$F$2</f>
        <v>2023</v>
      </c>
      <c r="R58" s="8">
        <f>COUNTIF(coordinator_1,10)</f>
        <v>0</v>
      </c>
      <c r="S58" s="8">
        <f>COUNTIF(coordinator_1,5)</f>
        <v>0</v>
      </c>
      <c r="T58" s="8">
        <f>COUNTIF(coordinator_1,0)</f>
        <v>0</v>
      </c>
      <c r="U58" s="8">
        <f>COUNTIF(coordinator_1,"")</f>
        <v>12</v>
      </c>
      <c r="V58" s="8">
        <f>SUM(R58:U58)</f>
        <v>12</v>
      </c>
    </row>
    <row r="59" spans="2:22" x14ac:dyDescent="0.3">
      <c r="B59" s="8">
        <f>Questions!$H$2</f>
        <v>2024</v>
      </c>
      <c r="C59" s="8">
        <f>COUNTIF(roles_2,10)</f>
        <v>0</v>
      </c>
      <c r="D59" s="8">
        <f>COUNTIF(roles_2,5)</f>
        <v>0</v>
      </c>
      <c r="E59" s="8">
        <f>COUNTIF(roles_2,0)</f>
        <v>0</v>
      </c>
      <c r="F59" s="8">
        <f>COUNTIF(roles_2,"")</f>
        <v>21</v>
      </c>
      <c r="G59" s="8">
        <f>SUM(C59:F59)</f>
        <v>21</v>
      </c>
      <c r="H59" s="6"/>
      <c r="J59" s="8">
        <f>Questions!$H$2</f>
        <v>2024</v>
      </c>
      <c r="K59" s="8">
        <f>COUNTIF(safety_2,10)</f>
        <v>0</v>
      </c>
      <c r="L59" s="8">
        <f>COUNTIF(safety_2,5)</f>
        <v>0</v>
      </c>
      <c r="M59" s="8">
        <f>COUNTIF(safety_2,0)</f>
        <v>0</v>
      </c>
      <c r="N59" s="8">
        <f>COUNTIF(safety_2,"")</f>
        <v>27</v>
      </c>
      <c r="O59" s="8">
        <f>SUM(K59:N59)</f>
        <v>27</v>
      </c>
      <c r="P59" s="6"/>
      <c r="Q59" s="8">
        <f>Questions!$H$2</f>
        <v>2024</v>
      </c>
      <c r="R59" s="8">
        <f>COUNTIF(coordinator_2,10)</f>
        <v>0</v>
      </c>
      <c r="S59" s="8">
        <f>COUNTIF(coordinator_2,5)</f>
        <v>0</v>
      </c>
      <c r="T59" s="8">
        <f>COUNTIF(coordinator_2,0)</f>
        <v>0</v>
      </c>
      <c r="U59" s="8">
        <f>COUNTIF(coordinator_2,"")</f>
        <v>12</v>
      </c>
      <c r="V59" s="8">
        <f>SUM(R59:U59)</f>
        <v>12</v>
      </c>
    </row>
    <row r="60" spans="2:22" x14ac:dyDescent="0.3">
      <c r="B60" s="8">
        <f>Questions!$J$2</f>
        <v>2025</v>
      </c>
      <c r="C60" s="8">
        <f>COUNTIF(roles_3,10)</f>
        <v>0</v>
      </c>
      <c r="D60" s="8">
        <f>COUNTIF(roles_3,5)</f>
        <v>0</v>
      </c>
      <c r="E60" s="8">
        <f>COUNTIF(roles_3,0)</f>
        <v>0</v>
      </c>
      <c r="F60" s="8">
        <f>COUNTIF(roles_3,"")</f>
        <v>21</v>
      </c>
      <c r="G60" s="8">
        <f>SUM(C60:F60)</f>
        <v>21</v>
      </c>
      <c r="H60" s="6"/>
      <c r="J60" s="8">
        <f>Questions!$J$2</f>
        <v>2025</v>
      </c>
      <c r="K60" s="8">
        <f>COUNTIF(safety_3,10)</f>
        <v>0</v>
      </c>
      <c r="L60" s="8">
        <f>COUNTIF(safety_3,5)</f>
        <v>0</v>
      </c>
      <c r="M60" s="8">
        <f>COUNTIF(safety_3,0)</f>
        <v>0</v>
      </c>
      <c r="N60" s="8">
        <f>COUNTIF(safety_3,"")</f>
        <v>27</v>
      </c>
      <c r="O60" s="8">
        <f>SUM(K60:N60)</f>
        <v>27</v>
      </c>
      <c r="P60" s="6"/>
      <c r="Q60" s="8">
        <f>Questions!$J$2</f>
        <v>2025</v>
      </c>
      <c r="R60" s="8">
        <f>COUNTIF(coordinator_3,10)</f>
        <v>0</v>
      </c>
      <c r="S60" s="8">
        <f>COUNTIF(coordinator_3,5)</f>
        <v>0</v>
      </c>
      <c r="T60" s="8">
        <f>COUNTIF(coordinator_3,0)</f>
        <v>0</v>
      </c>
      <c r="U60" s="8">
        <f>COUNTIF(coordinator_3,"")</f>
        <v>12</v>
      </c>
      <c r="V60" s="8">
        <f>SUM(R60:U60)</f>
        <v>12</v>
      </c>
    </row>
    <row r="61" spans="2:22" x14ac:dyDescent="0.3">
      <c r="B61" s="8">
        <f>Questions!$L$2</f>
        <v>2026</v>
      </c>
      <c r="C61" s="8">
        <f>COUNTIF(roles_4,10)</f>
        <v>0</v>
      </c>
      <c r="D61" s="8">
        <f>COUNTIF(roles_4,5)</f>
        <v>0</v>
      </c>
      <c r="E61" s="8">
        <f>COUNTIF(roles_4,0)</f>
        <v>0</v>
      </c>
      <c r="F61" s="8">
        <f>COUNTIF(roles_4,"")</f>
        <v>21</v>
      </c>
      <c r="G61" s="8">
        <f>SUM(C61:F61)</f>
        <v>21</v>
      </c>
      <c r="H61" s="6"/>
      <c r="J61" s="8">
        <f>Questions!$L$2</f>
        <v>2026</v>
      </c>
      <c r="K61" s="8">
        <f>COUNTIF(safety_4,10)</f>
        <v>0</v>
      </c>
      <c r="L61" s="8">
        <f>COUNTIF(safety_4,5)</f>
        <v>0</v>
      </c>
      <c r="M61" s="8">
        <f>COUNTIF(safety_4,0)</f>
        <v>0</v>
      </c>
      <c r="N61" s="8">
        <f>COUNTIF(safety_4,"")</f>
        <v>27</v>
      </c>
      <c r="O61" s="8">
        <f>SUM(K61:N61)</f>
        <v>27</v>
      </c>
      <c r="P61" s="6"/>
      <c r="Q61" s="8">
        <f>Questions!$L$2</f>
        <v>2026</v>
      </c>
      <c r="R61" s="8">
        <f>COUNTIF(coordinator_4,10)</f>
        <v>0</v>
      </c>
      <c r="S61" s="8">
        <f>COUNTIF(coordinator_4,5)</f>
        <v>0</v>
      </c>
      <c r="T61" s="8">
        <f>COUNTIF(coordinator_4,0)</f>
        <v>0</v>
      </c>
      <c r="U61" s="8">
        <f>COUNTIF(coordinator_4,"")</f>
        <v>12</v>
      </c>
      <c r="V61" s="8">
        <f>SUM(R61:U61)</f>
        <v>12</v>
      </c>
    </row>
    <row r="62" spans="2:22" x14ac:dyDescent="0.3">
      <c r="B62" s="8">
        <f>Questions!$N$2</f>
        <v>2027</v>
      </c>
      <c r="C62" s="8">
        <f>COUNTIF(roles_5,10)</f>
        <v>0</v>
      </c>
      <c r="D62" s="8">
        <f>COUNTIF(roles_5,5)</f>
        <v>0</v>
      </c>
      <c r="E62" s="8">
        <f>COUNTIF(roles_5,0)</f>
        <v>0</v>
      </c>
      <c r="F62" s="8">
        <f>COUNTIF(roles_5,"")</f>
        <v>21</v>
      </c>
      <c r="G62" s="8">
        <f>SUM(C62:F62)</f>
        <v>21</v>
      </c>
      <c r="H62" s="6"/>
      <c r="J62" s="8">
        <f>Questions!$N$2</f>
        <v>2027</v>
      </c>
      <c r="K62" s="8">
        <f>COUNTIF(safety_5,10)</f>
        <v>0</v>
      </c>
      <c r="L62" s="8">
        <f>COUNTIF(safety_5,5)</f>
        <v>0</v>
      </c>
      <c r="M62" s="8">
        <f>COUNTIF(safety_5,0)</f>
        <v>0</v>
      </c>
      <c r="N62" s="8">
        <f>COUNTIF(safety_5,"")</f>
        <v>27</v>
      </c>
      <c r="O62" s="8">
        <f>SUM(K62:N62)</f>
        <v>27</v>
      </c>
      <c r="P62" s="6"/>
      <c r="Q62" s="8">
        <f>Questions!$N$2</f>
        <v>2027</v>
      </c>
      <c r="R62" s="8">
        <f>COUNTIF(coordinator_5,10)</f>
        <v>0</v>
      </c>
      <c r="S62" s="8">
        <f>COUNTIF(coordinator_5,5)</f>
        <v>0</v>
      </c>
      <c r="T62" s="8">
        <f>COUNTIF(coordinator_5,0)</f>
        <v>0</v>
      </c>
      <c r="U62" s="8">
        <f>COUNTIF(coordinator_5,"")</f>
        <v>12</v>
      </c>
      <c r="V62" s="8">
        <f>SUM(R62:U62)</f>
        <v>12</v>
      </c>
    </row>
    <row r="63" spans="2:22" x14ac:dyDescent="0.3">
      <c r="B63" s="15"/>
      <c r="C63" s="16"/>
      <c r="D63" s="16"/>
      <c r="E63" s="16"/>
      <c r="F63" s="16"/>
      <c r="G63" s="17"/>
      <c r="H63" s="6"/>
      <c r="I63" s="6"/>
      <c r="J63" s="15"/>
      <c r="K63" s="16"/>
      <c r="L63" s="16"/>
      <c r="M63" s="16"/>
      <c r="N63" s="16"/>
      <c r="O63" s="17"/>
      <c r="P63" s="6"/>
      <c r="Q63" s="15"/>
      <c r="R63" s="16"/>
      <c r="S63" s="16"/>
      <c r="T63" s="16"/>
      <c r="U63" s="16"/>
      <c r="V63" s="17"/>
    </row>
    <row r="64" spans="2:22" x14ac:dyDescent="0.3">
      <c r="B64" s="18"/>
      <c r="C64" s="6"/>
      <c r="D64" s="6"/>
      <c r="E64" s="6"/>
      <c r="F64" s="6"/>
      <c r="G64" s="19"/>
      <c r="H64" s="6"/>
      <c r="I64" s="6"/>
      <c r="J64" s="18"/>
      <c r="K64" s="6"/>
      <c r="L64" s="6"/>
      <c r="M64" s="6"/>
      <c r="N64" s="6"/>
      <c r="O64" s="19"/>
      <c r="P64" s="6"/>
      <c r="Q64" s="18"/>
      <c r="R64" s="6"/>
      <c r="S64" s="6"/>
      <c r="T64" s="6"/>
      <c r="U64" s="6"/>
      <c r="V64" s="19"/>
    </row>
    <row r="65" spans="2:22" x14ac:dyDescent="0.3">
      <c r="B65" s="18"/>
      <c r="C65" s="6"/>
      <c r="D65" s="6"/>
      <c r="E65" s="6"/>
      <c r="F65" s="6"/>
      <c r="G65" s="19"/>
      <c r="H65" s="6"/>
      <c r="I65" s="6"/>
      <c r="J65" s="18"/>
      <c r="K65" s="6"/>
      <c r="L65" s="6"/>
      <c r="M65" s="6"/>
      <c r="N65" s="6"/>
      <c r="O65" s="19"/>
      <c r="P65" s="6"/>
      <c r="Q65" s="18"/>
      <c r="R65" s="6"/>
      <c r="S65" s="6"/>
      <c r="T65" s="6"/>
      <c r="U65" s="6"/>
      <c r="V65" s="19"/>
    </row>
    <row r="66" spans="2:22" x14ac:dyDescent="0.3">
      <c r="B66" s="18"/>
      <c r="C66" s="6"/>
      <c r="D66" s="6"/>
      <c r="E66" s="6"/>
      <c r="F66" s="6"/>
      <c r="G66" s="19"/>
      <c r="H66" s="6"/>
      <c r="I66" s="6"/>
      <c r="J66" s="18"/>
      <c r="K66" s="6"/>
      <c r="L66" s="6"/>
      <c r="M66" s="6"/>
      <c r="N66" s="6"/>
      <c r="O66" s="19"/>
      <c r="P66" s="6"/>
      <c r="Q66" s="18"/>
      <c r="R66" s="6"/>
      <c r="S66" s="6"/>
      <c r="T66" s="6"/>
      <c r="U66" s="6"/>
      <c r="V66" s="19"/>
    </row>
    <row r="67" spans="2:22" x14ac:dyDescent="0.3">
      <c r="B67" s="18"/>
      <c r="C67" s="6"/>
      <c r="D67" s="6"/>
      <c r="E67" s="6"/>
      <c r="F67" s="6"/>
      <c r="G67" s="19"/>
      <c r="H67" s="6"/>
      <c r="I67" s="6"/>
      <c r="J67" s="18"/>
      <c r="K67" s="6"/>
      <c r="L67" s="6"/>
      <c r="M67" s="6"/>
      <c r="N67" s="6"/>
      <c r="O67" s="19"/>
      <c r="P67" s="6"/>
      <c r="Q67" s="18"/>
      <c r="R67" s="6"/>
      <c r="S67" s="6"/>
      <c r="T67" s="6"/>
      <c r="U67" s="6"/>
      <c r="V67" s="19"/>
    </row>
    <row r="68" spans="2:22" x14ac:dyDescent="0.3">
      <c r="B68" s="18"/>
      <c r="C68" s="6"/>
      <c r="D68" s="6"/>
      <c r="E68" s="6"/>
      <c r="F68" s="6"/>
      <c r="G68" s="19"/>
      <c r="H68" s="6"/>
      <c r="I68" s="6" t="s">
        <v>177</v>
      </c>
      <c r="J68" s="18"/>
      <c r="K68" s="6"/>
      <c r="L68" s="6"/>
      <c r="M68" s="6"/>
      <c r="N68" s="6"/>
      <c r="O68" s="19"/>
      <c r="P68" s="6"/>
      <c r="Q68" s="18"/>
      <c r="R68" s="6"/>
      <c r="S68" s="6"/>
      <c r="T68" s="6"/>
      <c r="U68" s="6"/>
      <c r="V68" s="19"/>
    </row>
    <row r="69" spans="2:22" x14ac:dyDescent="0.3">
      <c r="B69" s="18"/>
      <c r="C69" s="6"/>
      <c r="D69" s="6"/>
      <c r="E69" s="6"/>
      <c r="F69" s="6"/>
      <c r="G69" s="19"/>
      <c r="H69" s="6"/>
      <c r="I69" s="6"/>
      <c r="J69" s="18"/>
      <c r="K69" s="6"/>
      <c r="L69" s="6"/>
      <c r="M69" s="6"/>
      <c r="N69" s="6"/>
      <c r="O69" s="19"/>
      <c r="P69" s="6"/>
      <c r="Q69" s="18"/>
      <c r="R69" s="6"/>
      <c r="S69" s="6"/>
      <c r="T69" s="6"/>
      <c r="U69" s="6"/>
      <c r="V69" s="19"/>
    </row>
    <row r="70" spans="2:22" x14ac:dyDescent="0.3">
      <c r="B70" s="18"/>
      <c r="C70" s="6"/>
      <c r="D70" s="6"/>
      <c r="E70" s="6"/>
      <c r="F70" s="6"/>
      <c r="G70" s="19"/>
      <c r="H70" s="6"/>
      <c r="I70" s="6"/>
      <c r="J70" s="18"/>
      <c r="K70" s="6"/>
      <c r="L70" s="6"/>
      <c r="M70" s="6"/>
      <c r="N70" s="6"/>
      <c r="O70" s="19"/>
      <c r="P70" s="6"/>
      <c r="Q70" s="18"/>
      <c r="R70" s="6"/>
      <c r="S70" s="6"/>
      <c r="T70" s="6"/>
      <c r="U70" s="6"/>
      <c r="V70" s="19"/>
    </row>
    <row r="71" spans="2:22" x14ac:dyDescent="0.3">
      <c r="B71" s="18"/>
      <c r="C71" s="6"/>
      <c r="D71" s="6"/>
      <c r="E71" s="6"/>
      <c r="F71" s="6"/>
      <c r="G71" s="19"/>
      <c r="H71" s="6"/>
      <c r="I71" s="6"/>
      <c r="J71" s="18"/>
      <c r="K71" s="6"/>
      <c r="L71" s="6"/>
      <c r="M71" s="6"/>
      <c r="N71" s="6"/>
      <c r="O71" s="19"/>
      <c r="P71" s="6"/>
      <c r="Q71" s="18"/>
      <c r="R71" s="6"/>
      <c r="S71" s="6"/>
      <c r="T71" s="6"/>
      <c r="U71" s="6"/>
      <c r="V71" s="19"/>
    </row>
    <row r="72" spans="2:22" x14ac:dyDescent="0.3">
      <c r="B72" s="18"/>
      <c r="C72" s="6"/>
      <c r="D72" s="6"/>
      <c r="E72" s="6"/>
      <c r="F72" s="6"/>
      <c r="G72" s="19"/>
      <c r="H72" s="6"/>
      <c r="I72" s="6"/>
      <c r="J72" s="18"/>
      <c r="K72" s="6"/>
      <c r="L72" s="6"/>
      <c r="M72" s="6"/>
      <c r="N72" s="6"/>
      <c r="O72" s="19"/>
      <c r="P72" s="6"/>
      <c r="Q72" s="18"/>
      <c r="R72" s="6"/>
      <c r="S72" s="6"/>
      <c r="T72" s="6"/>
      <c r="U72" s="6"/>
      <c r="V72" s="19"/>
    </row>
    <row r="73" spans="2:22" x14ac:dyDescent="0.3">
      <c r="B73" s="18"/>
      <c r="C73" s="6"/>
      <c r="D73" s="6"/>
      <c r="E73" s="6"/>
      <c r="F73" s="6"/>
      <c r="G73" s="19"/>
      <c r="H73" s="6"/>
      <c r="I73" s="6"/>
      <c r="J73" s="18"/>
      <c r="K73" s="6"/>
      <c r="L73" s="6"/>
      <c r="M73" s="6"/>
      <c r="N73" s="6"/>
      <c r="O73" s="19"/>
      <c r="P73" s="6"/>
      <c r="Q73" s="18"/>
      <c r="R73" s="6"/>
      <c r="S73" s="6"/>
      <c r="T73" s="6"/>
      <c r="U73" s="6"/>
      <c r="V73" s="19"/>
    </row>
    <row r="74" spans="2:22" x14ac:dyDescent="0.3">
      <c r="B74" s="18"/>
      <c r="C74" s="6"/>
      <c r="D74" s="6"/>
      <c r="E74" s="6"/>
      <c r="F74" s="6"/>
      <c r="G74" s="19"/>
      <c r="H74" s="6"/>
      <c r="I74" s="6"/>
      <c r="J74" s="18"/>
      <c r="K74" s="6"/>
      <c r="L74" s="6"/>
      <c r="M74" s="6"/>
      <c r="N74" s="6"/>
      <c r="O74" s="19"/>
      <c r="P74" s="6"/>
      <c r="Q74" s="18"/>
      <c r="R74" s="6"/>
      <c r="S74" s="6"/>
      <c r="T74" s="6"/>
      <c r="U74" s="6"/>
      <c r="V74" s="19"/>
    </row>
    <row r="75" spans="2:22" x14ac:dyDescent="0.3">
      <c r="B75" s="18"/>
      <c r="C75" s="6"/>
      <c r="D75" s="6"/>
      <c r="E75" s="6"/>
      <c r="F75" s="6"/>
      <c r="G75" s="19"/>
      <c r="H75" s="6"/>
      <c r="I75" s="6"/>
      <c r="J75" s="18"/>
      <c r="K75" s="6"/>
      <c r="L75" s="6"/>
      <c r="M75" s="6"/>
      <c r="N75" s="6"/>
      <c r="O75" s="19"/>
      <c r="P75" s="6"/>
      <c r="Q75" s="18"/>
      <c r="R75" s="6"/>
      <c r="S75" s="6"/>
      <c r="T75" s="6"/>
      <c r="U75" s="6"/>
      <c r="V75" s="19"/>
    </row>
    <row r="76" spans="2:22" x14ac:dyDescent="0.3">
      <c r="B76" s="18"/>
      <c r="C76" s="6"/>
      <c r="D76" s="6"/>
      <c r="E76" s="6"/>
      <c r="F76" s="6"/>
      <c r="G76" s="19"/>
      <c r="H76" s="6"/>
      <c r="I76" s="6"/>
      <c r="J76" s="18"/>
      <c r="K76" s="6"/>
      <c r="L76" s="6"/>
      <c r="M76" s="6"/>
      <c r="N76" s="6"/>
      <c r="O76" s="19"/>
      <c r="P76" s="6"/>
      <c r="Q76" s="18"/>
      <c r="R76" s="6"/>
      <c r="S76" s="6"/>
      <c r="T76" s="6"/>
      <c r="U76" s="6"/>
      <c r="V76" s="19"/>
    </row>
    <row r="77" spans="2:22" x14ac:dyDescent="0.3">
      <c r="B77" s="18"/>
      <c r="C77" s="6"/>
      <c r="D77" s="6"/>
      <c r="E77" s="6"/>
      <c r="F77" s="6"/>
      <c r="G77" s="19"/>
      <c r="H77" s="6"/>
      <c r="I77" s="6"/>
      <c r="J77" s="18"/>
      <c r="K77" s="6"/>
      <c r="L77" s="6"/>
      <c r="M77" s="6"/>
      <c r="N77" s="6"/>
      <c r="O77" s="19"/>
      <c r="P77" s="6"/>
      <c r="Q77" s="18"/>
      <c r="R77" s="6"/>
      <c r="S77" s="6"/>
      <c r="T77" s="6"/>
      <c r="U77" s="6"/>
      <c r="V77" s="19"/>
    </row>
    <row r="78" spans="2:22" x14ac:dyDescent="0.3">
      <c r="B78" s="18"/>
      <c r="C78" s="6"/>
      <c r="D78" s="6"/>
      <c r="E78" s="6"/>
      <c r="F78" s="6"/>
      <c r="G78" s="19"/>
      <c r="H78" s="6"/>
      <c r="I78" s="6"/>
      <c r="J78" s="18"/>
      <c r="K78" s="6"/>
      <c r="L78" s="6"/>
      <c r="M78" s="6"/>
      <c r="N78" s="6"/>
      <c r="O78" s="19"/>
      <c r="P78" s="6"/>
      <c r="Q78" s="18"/>
      <c r="R78" s="6"/>
      <c r="S78" s="6"/>
      <c r="T78" s="6"/>
      <c r="U78" s="6"/>
      <c r="V78" s="19"/>
    </row>
    <row r="79" spans="2:22" x14ac:dyDescent="0.3">
      <c r="B79" s="20"/>
      <c r="C79" s="21"/>
      <c r="D79" s="21"/>
      <c r="E79" s="21"/>
      <c r="F79" s="21"/>
      <c r="G79" s="22"/>
      <c r="H79" s="6"/>
      <c r="I79" s="6"/>
      <c r="J79" s="20"/>
      <c r="K79" s="21"/>
      <c r="L79" s="21"/>
      <c r="M79" s="21"/>
      <c r="N79" s="21"/>
      <c r="O79" s="22"/>
      <c r="P79" s="6"/>
      <c r="Q79" s="20"/>
      <c r="R79" s="21"/>
      <c r="S79" s="21"/>
      <c r="T79" s="21"/>
      <c r="U79" s="21"/>
      <c r="V79" s="22"/>
    </row>
    <row r="80" spans="2:22" x14ac:dyDescent="0.3">
      <c r="B80" s="5"/>
      <c r="C80" s="6"/>
      <c r="D80" s="6"/>
      <c r="E80" s="6"/>
      <c r="F80" s="6"/>
      <c r="G80" s="6"/>
      <c r="H80" s="6"/>
      <c r="I80" s="6"/>
      <c r="J80" s="6"/>
      <c r="K80" s="6"/>
      <c r="L80" s="6"/>
      <c r="M80" s="6"/>
      <c r="N80" s="6"/>
      <c r="O80" s="6"/>
      <c r="P80" s="6"/>
      <c r="Q80" s="6"/>
      <c r="R80" s="6"/>
      <c r="S80" s="6"/>
      <c r="T80" s="6"/>
      <c r="U80" s="6"/>
      <c r="V80" s="6"/>
    </row>
    <row r="81" spans="2:22" x14ac:dyDescent="0.3">
      <c r="B81" s="5"/>
      <c r="C81" s="6"/>
      <c r="D81" s="6"/>
      <c r="E81" s="6"/>
      <c r="F81" s="6"/>
      <c r="G81" s="6"/>
      <c r="H81" s="6"/>
      <c r="I81" s="6" t="s">
        <v>178</v>
      </c>
      <c r="J81" s="6"/>
      <c r="K81" s="6"/>
      <c r="L81" s="6"/>
      <c r="M81" s="6"/>
      <c r="N81" s="6"/>
      <c r="O81" s="6"/>
      <c r="P81" s="6"/>
      <c r="Q81" s="6"/>
      <c r="R81" s="6"/>
      <c r="S81" s="6"/>
      <c r="T81" s="6"/>
      <c r="U81" s="6"/>
      <c r="V81" s="6"/>
    </row>
    <row r="82" spans="2:22" ht="23.4" x14ac:dyDescent="0.3">
      <c r="B82" s="44" t="s">
        <v>153</v>
      </c>
      <c r="C82" s="45"/>
      <c r="D82" s="45"/>
      <c r="E82" s="45"/>
      <c r="F82" s="45"/>
      <c r="G82" s="46"/>
      <c r="H82" s="6"/>
      <c r="I82" t="s">
        <v>179</v>
      </c>
      <c r="J82" s="6"/>
      <c r="K82" s="6"/>
      <c r="L82" s="6"/>
      <c r="M82" s="6"/>
      <c r="N82" s="6"/>
      <c r="O82" s="6"/>
      <c r="P82" s="6"/>
      <c r="Q82" s="6"/>
      <c r="R82" s="6"/>
      <c r="S82" s="6"/>
      <c r="T82" s="6"/>
      <c r="U82" s="6"/>
      <c r="V82" s="6"/>
    </row>
    <row r="83" spans="2:22" ht="28.8" x14ac:dyDescent="0.3">
      <c r="B83" s="40" t="s">
        <v>150</v>
      </c>
      <c r="C83" s="40" t="s">
        <v>392</v>
      </c>
      <c r="D83" s="41" t="s">
        <v>393</v>
      </c>
      <c r="E83" s="41" t="s">
        <v>394</v>
      </c>
      <c r="F83" s="41" t="s">
        <v>202</v>
      </c>
      <c r="G83" s="41" t="s">
        <v>59</v>
      </c>
      <c r="H83" s="6"/>
      <c r="I83" t="s">
        <v>180</v>
      </c>
      <c r="J83" s="6"/>
      <c r="K83" s="6"/>
      <c r="L83" s="6"/>
      <c r="M83" s="6"/>
      <c r="N83" s="6"/>
      <c r="O83" s="6"/>
      <c r="P83" s="6"/>
      <c r="Q83" s="6"/>
      <c r="R83" s="6"/>
      <c r="S83" s="6"/>
      <c r="T83" s="6"/>
      <c r="U83" s="6"/>
      <c r="V83" s="6"/>
    </row>
    <row r="84" spans="2:22" x14ac:dyDescent="0.3">
      <c r="B84" s="8">
        <f>Questions!$F$2</f>
        <v>2023</v>
      </c>
      <c r="C84" s="8">
        <f>COUNTIF(training_1,10)</f>
        <v>0</v>
      </c>
      <c r="D84" s="8">
        <f>COUNTIF(training_1,5)</f>
        <v>0</v>
      </c>
      <c r="E84" s="8">
        <f>COUNTIF(training_1,0)</f>
        <v>0</v>
      </c>
      <c r="F84" s="8">
        <f>COUNTIF(training_1,"")</f>
        <v>48</v>
      </c>
      <c r="G84" s="8">
        <f>SUM(C84:F84)</f>
        <v>48</v>
      </c>
      <c r="H84" s="6"/>
      <c r="I84" t="s">
        <v>181</v>
      </c>
      <c r="J84" s="6"/>
      <c r="K84" s="6"/>
      <c r="L84" s="6"/>
      <c r="M84" s="6"/>
      <c r="N84" s="6"/>
      <c r="O84" s="6"/>
      <c r="P84" s="6"/>
      <c r="Q84" s="6"/>
      <c r="R84" s="6"/>
      <c r="S84" s="6"/>
      <c r="T84" s="6"/>
      <c r="U84" s="6"/>
      <c r="V84" s="6"/>
    </row>
    <row r="85" spans="2:22" x14ac:dyDescent="0.3">
      <c r="B85" s="8">
        <f>Questions!$H$2</f>
        <v>2024</v>
      </c>
      <c r="C85" s="8">
        <f>COUNTIF(training_2,10)</f>
        <v>0</v>
      </c>
      <c r="D85" s="8">
        <f>COUNTIF(training_2,5)</f>
        <v>0</v>
      </c>
      <c r="E85" s="8">
        <f>COUNTIF(training_2,0)</f>
        <v>0</v>
      </c>
      <c r="F85" s="8">
        <f>COUNTIF(training_2,"")</f>
        <v>48</v>
      </c>
      <c r="G85" s="8">
        <f>SUM(C85:F85)</f>
        <v>48</v>
      </c>
      <c r="H85" s="6"/>
      <c r="J85" s="6"/>
      <c r="K85" s="6"/>
      <c r="L85" s="6"/>
      <c r="M85" s="6"/>
      <c r="N85" s="6"/>
      <c r="O85" s="6"/>
      <c r="P85" s="6"/>
      <c r="Q85" s="6"/>
      <c r="R85" s="6"/>
      <c r="S85" s="6"/>
      <c r="T85" s="6"/>
      <c r="U85" s="6"/>
      <c r="V85" s="6"/>
    </row>
    <row r="86" spans="2:22" x14ac:dyDescent="0.3">
      <c r="B86" s="8">
        <f>Questions!$J$2</f>
        <v>2025</v>
      </c>
      <c r="C86" s="8">
        <f>COUNTIF(training_3,10)</f>
        <v>0</v>
      </c>
      <c r="D86" s="8">
        <f>COUNTIF(training_3,5)</f>
        <v>0</v>
      </c>
      <c r="E86" s="8">
        <f>COUNTIF(training_3,0)</f>
        <v>0</v>
      </c>
      <c r="F86" s="8">
        <f>COUNTIF(training_3,"")</f>
        <v>48</v>
      </c>
      <c r="G86" s="8">
        <f>SUM(C86:F86)</f>
        <v>48</v>
      </c>
      <c r="H86" s="6"/>
      <c r="J86" s="6"/>
      <c r="K86" s="6"/>
      <c r="L86" s="6"/>
      <c r="M86" s="6"/>
      <c r="N86" s="6"/>
      <c r="O86" s="6"/>
      <c r="P86" s="6"/>
      <c r="Q86" s="6"/>
      <c r="R86" s="6"/>
      <c r="S86" s="6"/>
      <c r="T86" s="6"/>
      <c r="U86" s="6"/>
      <c r="V86" s="6"/>
    </row>
    <row r="87" spans="2:22" x14ac:dyDescent="0.3">
      <c r="B87" s="8">
        <f>Questions!$L$2</f>
        <v>2026</v>
      </c>
      <c r="C87" s="8">
        <f>COUNTIF(training_4,10)</f>
        <v>0</v>
      </c>
      <c r="D87" s="8">
        <f>COUNTIF(training_4,5)</f>
        <v>0</v>
      </c>
      <c r="E87" s="8">
        <f>COUNTIF(training_4,0)</f>
        <v>0</v>
      </c>
      <c r="F87" s="8">
        <f>COUNTIF(training_4,"")</f>
        <v>48</v>
      </c>
      <c r="G87" s="8">
        <f>SUM(C87:F87)</f>
        <v>48</v>
      </c>
      <c r="H87" s="6"/>
      <c r="J87" s="6"/>
      <c r="K87" s="6"/>
      <c r="L87" s="6"/>
      <c r="M87" s="6"/>
      <c r="N87" s="6"/>
      <c r="O87" s="6"/>
      <c r="P87" s="6"/>
      <c r="Q87" s="6"/>
      <c r="R87" s="6"/>
      <c r="S87" s="6"/>
      <c r="T87" s="6"/>
      <c r="U87" s="6"/>
      <c r="V87" s="6"/>
    </row>
    <row r="88" spans="2:22" x14ac:dyDescent="0.3">
      <c r="B88" s="8">
        <f>Questions!$N$2</f>
        <v>2027</v>
      </c>
      <c r="C88" s="8">
        <f>COUNTIF(training_5,10)</f>
        <v>0</v>
      </c>
      <c r="D88" s="8">
        <f>COUNTIF(training_5,5)</f>
        <v>0</v>
      </c>
      <c r="E88" s="8">
        <f>COUNTIF(training_5,0)</f>
        <v>0</v>
      </c>
      <c r="F88" s="8">
        <f>COUNTIF(training_5,"")</f>
        <v>48</v>
      </c>
      <c r="G88" s="8">
        <f>SUM(C88:F88)</f>
        <v>48</v>
      </c>
      <c r="H88" s="6"/>
      <c r="I88" t="s">
        <v>182</v>
      </c>
      <c r="J88" s="6"/>
      <c r="K88" s="6"/>
      <c r="L88" s="6"/>
      <c r="M88" s="6"/>
      <c r="N88" s="6"/>
      <c r="O88" s="6"/>
      <c r="P88" s="6"/>
      <c r="Q88" s="6"/>
      <c r="R88" s="6"/>
      <c r="S88" s="6"/>
      <c r="T88" s="6"/>
      <c r="U88" s="6"/>
      <c r="V88" s="6"/>
    </row>
    <row r="89" spans="2:22" x14ac:dyDescent="0.3">
      <c r="B89" s="15"/>
      <c r="C89" s="16"/>
      <c r="D89" s="16"/>
      <c r="E89" s="16"/>
      <c r="F89" s="16"/>
      <c r="G89" s="17"/>
      <c r="H89" s="6"/>
      <c r="I89" t="s">
        <v>183</v>
      </c>
      <c r="J89" s="6"/>
      <c r="K89" s="6"/>
      <c r="L89" s="6"/>
      <c r="M89" s="6"/>
      <c r="N89" s="6"/>
      <c r="O89" s="6"/>
      <c r="P89" s="6"/>
      <c r="Q89" s="6"/>
      <c r="R89" s="6"/>
      <c r="S89" s="6"/>
      <c r="T89" s="6"/>
      <c r="U89" s="6"/>
      <c r="V89" s="6"/>
    </row>
    <row r="90" spans="2:22" x14ac:dyDescent="0.3">
      <c r="B90" s="18"/>
      <c r="C90" s="6"/>
      <c r="D90" s="6"/>
      <c r="E90" s="6"/>
      <c r="F90" s="6"/>
      <c r="G90" s="19"/>
      <c r="H90" s="6"/>
      <c r="I90" t="s">
        <v>201</v>
      </c>
      <c r="J90" s="6"/>
      <c r="K90" s="6"/>
      <c r="L90" s="6"/>
      <c r="M90" s="6"/>
      <c r="N90" s="6"/>
      <c r="O90" s="6"/>
      <c r="P90" s="6"/>
      <c r="Q90" s="6"/>
      <c r="R90" s="6"/>
      <c r="S90" s="6"/>
      <c r="T90" s="6"/>
      <c r="U90" s="6"/>
      <c r="V90" s="6"/>
    </row>
    <row r="91" spans="2:22" x14ac:dyDescent="0.3">
      <c r="B91" s="18"/>
      <c r="C91" s="6"/>
      <c r="D91" s="6"/>
      <c r="E91" s="6"/>
      <c r="F91" s="6"/>
      <c r="G91" s="19"/>
      <c r="H91" s="6"/>
      <c r="I91" t="s">
        <v>184</v>
      </c>
      <c r="J91" s="6"/>
      <c r="K91" s="6"/>
      <c r="L91" s="6"/>
      <c r="M91" s="6"/>
      <c r="N91" s="6"/>
      <c r="O91" s="6"/>
      <c r="P91" s="6"/>
      <c r="Q91" s="6"/>
      <c r="R91" s="6"/>
      <c r="S91" s="6"/>
      <c r="T91" s="6"/>
      <c r="U91" s="6"/>
      <c r="V91" s="6"/>
    </row>
    <row r="92" spans="2:22" x14ac:dyDescent="0.3">
      <c r="B92" s="18"/>
      <c r="C92" s="6"/>
      <c r="D92" s="6"/>
      <c r="E92" s="6"/>
      <c r="F92" s="6"/>
      <c r="G92" s="19"/>
      <c r="H92" s="6"/>
      <c r="I92" t="s">
        <v>185</v>
      </c>
      <c r="J92" s="6"/>
      <c r="K92" s="6"/>
      <c r="L92" s="6"/>
      <c r="M92" s="6"/>
      <c r="N92" s="6"/>
      <c r="O92" s="6"/>
      <c r="P92" s="6"/>
      <c r="Q92" s="6"/>
      <c r="R92" s="6"/>
      <c r="S92" s="6"/>
      <c r="T92" s="6"/>
      <c r="U92" s="6"/>
      <c r="V92" s="6"/>
    </row>
    <row r="93" spans="2:22" x14ac:dyDescent="0.3">
      <c r="B93" s="18"/>
      <c r="C93" s="6"/>
      <c r="D93" s="6"/>
      <c r="E93" s="6"/>
      <c r="F93" s="6"/>
      <c r="G93" s="19"/>
      <c r="H93" s="6"/>
      <c r="J93" s="6"/>
      <c r="K93" s="6"/>
      <c r="L93" s="6"/>
      <c r="M93" s="6"/>
      <c r="N93" s="6"/>
      <c r="O93" s="6"/>
      <c r="P93" s="6"/>
      <c r="Q93" s="6"/>
      <c r="R93" s="6"/>
      <c r="S93" s="6"/>
      <c r="T93" s="6"/>
      <c r="U93" s="6"/>
      <c r="V93" s="6"/>
    </row>
    <row r="94" spans="2:22" x14ac:dyDescent="0.3">
      <c r="B94" s="18"/>
      <c r="C94" s="6"/>
      <c r="D94" s="6"/>
      <c r="E94" s="6"/>
      <c r="F94" s="6"/>
      <c r="G94" s="19"/>
      <c r="H94" s="6"/>
      <c r="J94" s="6"/>
      <c r="K94" s="6"/>
      <c r="L94" s="6"/>
      <c r="M94" s="6"/>
      <c r="N94" s="6"/>
      <c r="O94" s="6"/>
      <c r="P94" s="6"/>
      <c r="Q94" s="6"/>
      <c r="R94" s="6"/>
      <c r="S94" s="6"/>
      <c r="T94" s="6"/>
      <c r="U94" s="6"/>
      <c r="V94" s="6"/>
    </row>
    <row r="95" spans="2:22" x14ac:dyDescent="0.3">
      <c r="B95" s="18"/>
      <c r="C95" s="6"/>
      <c r="D95" s="6"/>
      <c r="E95" s="6"/>
      <c r="F95" s="6"/>
      <c r="G95" s="19"/>
      <c r="H95" s="6"/>
      <c r="J95" s="6"/>
      <c r="K95" s="6"/>
      <c r="L95" s="6"/>
      <c r="M95" s="6"/>
      <c r="N95" s="6"/>
      <c r="O95" s="6"/>
      <c r="P95" s="6"/>
      <c r="Q95" s="6"/>
      <c r="R95" s="6"/>
      <c r="S95" s="6"/>
      <c r="T95" s="6"/>
      <c r="U95" s="6"/>
      <c r="V95" s="6"/>
    </row>
    <row r="96" spans="2:22" x14ac:dyDescent="0.3">
      <c r="B96" s="18"/>
      <c r="C96" s="6"/>
      <c r="D96" s="6"/>
      <c r="E96" s="6"/>
      <c r="F96" s="6"/>
      <c r="G96" s="19"/>
      <c r="H96" s="6"/>
      <c r="I96" t="s">
        <v>186</v>
      </c>
      <c r="J96" s="6"/>
      <c r="K96" s="6"/>
      <c r="L96" s="6"/>
      <c r="M96" s="6"/>
      <c r="N96" s="6"/>
      <c r="O96" s="6"/>
      <c r="P96" s="6"/>
      <c r="Q96" s="6"/>
      <c r="R96" s="6"/>
      <c r="S96" s="6"/>
      <c r="T96" s="6"/>
      <c r="U96" s="6"/>
      <c r="V96" s="6"/>
    </row>
    <row r="97" spans="2:22" x14ac:dyDescent="0.3">
      <c r="B97" s="18"/>
      <c r="C97" s="6"/>
      <c r="D97" s="6"/>
      <c r="E97" s="6"/>
      <c r="F97" s="6"/>
      <c r="G97" s="19"/>
      <c r="H97" s="6"/>
      <c r="I97" t="s">
        <v>187</v>
      </c>
      <c r="J97" s="6"/>
      <c r="K97" s="6"/>
      <c r="L97" s="6"/>
      <c r="M97" s="6"/>
      <c r="N97" s="6"/>
      <c r="O97" s="6"/>
      <c r="P97" s="6"/>
      <c r="Q97" s="6"/>
      <c r="R97" s="6"/>
      <c r="S97" s="6"/>
      <c r="T97" s="6"/>
      <c r="U97" s="6"/>
      <c r="V97" s="6"/>
    </row>
    <row r="98" spans="2:22" x14ac:dyDescent="0.3">
      <c r="B98" s="18"/>
      <c r="C98" s="6"/>
      <c r="D98" s="6"/>
      <c r="E98" s="6"/>
      <c r="F98" s="6"/>
      <c r="G98" s="19"/>
      <c r="H98" s="6"/>
      <c r="I98" t="s">
        <v>188</v>
      </c>
      <c r="J98" s="6"/>
      <c r="K98" s="6"/>
      <c r="L98" s="6"/>
      <c r="M98" s="6"/>
      <c r="N98" s="6"/>
      <c r="O98" s="6"/>
      <c r="P98" s="6"/>
      <c r="Q98" s="6"/>
      <c r="R98" s="6"/>
      <c r="S98" s="6"/>
      <c r="T98" s="6"/>
      <c r="U98" s="6"/>
      <c r="V98" s="6"/>
    </row>
    <row r="99" spans="2:22" x14ac:dyDescent="0.3">
      <c r="B99" s="18"/>
      <c r="C99" s="6"/>
      <c r="D99" s="6"/>
      <c r="E99" s="6"/>
      <c r="F99" s="6"/>
      <c r="G99" s="19"/>
      <c r="H99" s="6"/>
      <c r="I99" t="s">
        <v>189</v>
      </c>
      <c r="J99" s="6"/>
      <c r="K99" s="6"/>
      <c r="L99" s="6"/>
      <c r="M99" s="6"/>
      <c r="N99" s="6"/>
      <c r="O99" s="6"/>
      <c r="P99" s="6"/>
      <c r="Q99" s="6"/>
      <c r="R99" s="6"/>
      <c r="S99" s="6"/>
      <c r="T99" s="6"/>
      <c r="U99" s="6"/>
      <c r="V99" s="6"/>
    </row>
    <row r="100" spans="2:22" x14ac:dyDescent="0.3">
      <c r="B100" s="18"/>
      <c r="C100" s="6"/>
      <c r="D100" s="6"/>
      <c r="E100" s="6"/>
      <c r="F100" s="6"/>
      <c r="G100" s="19"/>
      <c r="H100" s="6"/>
      <c r="I100" t="s">
        <v>190</v>
      </c>
      <c r="J100" s="6"/>
      <c r="K100" s="6"/>
      <c r="L100" s="6"/>
      <c r="M100" s="6"/>
      <c r="N100" s="6"/>
      <c r="O100" s="6"/>
      <c r="P100" s="6"/>
      <c r="Q100" s="6"/>
      <c r="R100" s="6"/>
      <c r="S100" s="6"/>
      <c r="T100" s="6"/>
      <c r="U100" s="6"/>
      <c r="V100" s="6"/>
    </row>
    <row r="101" spans="2:22" x14ac:dyDescent="0.3">
      <c r="B101" s="18"/>
      <c r="C101" s="6"/>
      <c r="D101" s="6"/>
      <c r="E101" s="6"/>
      <c r="F101" s="6"/>
      <c r="G101" s="19"/>
      <c r="H101" s="6"/>
      <c r="J101" s="6"/>
      <c r="K101" s="6"/>
      <c r="L101" s="6"/>
      <c r="M101" s="6"/>
      <c r="N101" s="6"/>
      <c r="O101" s="6"/>
      <c r="P101" s="6"/>
      <c r="Q101" s="6"/>
      <c r="R101" s="6"/>
      <c r="S101" s="6"/>
      <c r="T101" s="6"/>
      <c r="U101" s="6"/>
      <c r="V101" s="6"/>
    </row>
    <row r="102" spans="2:22" x14ac:dyDescent="0.3">
      <c r="B102" s="18"/>
      <c r="C102" s="6"/>
      <c r="D102" s="6"/>
      <c r="E102" s="6"/>
      <c r="F102" s="6"/>
      <c r="G102" s="19"/>
      <c r="H102" s="6"/>
      <c r="J102" s="6"/>
      <c r="K102" s="6"/>
      <c r="L102" s="6"/>
      <c r="M102" s="6"/>
      <c r="N102" s="6"/>
      <c r="O102" s="6"/>
      <c r="P102" s="6"/>
      <c r="Q102" s="6"/>
      <c r="R102" s="6"/>
      <c r="S102" s="6"/>
      <c r="T102" s="6"/>
      <c r="U102" s="6"/>
      <c r="V102" s="6"/>
    </row>
    <row r="103" spans="2:22" x14ac:dyDescent="0.3">
      <c r="B103" s="18"/>
      <c r="C103" s="6"/>
      <c r="D103" s="6"/>
      <c r="E103" s="6"/>
      <c r="F103" s="6"/>
      <c r="G103" s="19"/>
      <c r="H103" s="6"/>
      <c r="J103" s="6"/>
      <c r="K103" s="6"/>
      <c r="L103" s="6"/>
      <c r="M103" s="6"/>
      <c r="N103" s="6"/>
      <c r="O103" s="6"/>
      <c r="P103" s="6"/>
      <c r="Q103" s="6"/>
      <c r="R103" s="6"/>
      <c r="S103" s="6"/>
      <c r="T103" s="6"/>
      <c r="U103" s="6"/>
      <c r="V103" s="6"/>
    </row>
    <row r="104" spans="2:22" x14ac:dyDescent="0.3">
      <c r="B104" s="18"/>
      <c r="C104" s="6"/>
      <c r="D104" s="6"/>
      <c r="E104" s="6"/>
      <c r="F104" s="6"/>
      <c r="G104" s="19"/>
      <c r="H104" s="6"/>
      <c r="I104" t="s">
        <v>191</v>
      </c>
      <c r="J104" s="6"/>
      <c r="K104" s="6"/>
      <c r="L104" s="6"/>
      <c r="M104" s="6"/>
      <c r="N104" s="6"/>
      <c r="O104" s="6"/>
      <c r="P104" s="6"/>
      <c r="Q104" s="6"/>
      <c r="R104" s="6"/>
      <c r="S104" s="6"/>
      <c r="T104" s="6"/>
      <c r="U104" s="6"/>
      <c r="V104" s="6"/>
    </row>
    <row r="105" spans="2:22" x14ac:dyDescent="0.3">
      <c r="B105" s="20"/>
      <c r="C105" s="21"/>
      <c r="D105" s="21"/>
      <c r="E105" s="21"/>
      <c r="F105" s="21"/>
      <c r="G105" s="22"/>
      <c r="H105" s="6"/>
      <c r="I105" t="s">
        <v>192</v>
      </c>
      <c r="J105" s="6"/>
      <c r="K105" s="6"/>
      <c r="L105" s="6"/>
      <c r="M105" s="6"/>
      <c r="N105" s="6"/>
      <c r="O105" s="6"/>
      <c r="P105" s="6"/>
      <c r="Q105" s="6"/>
      <c r="R105" s="6"/>
      <c r="S105" s="6"/>
      <c r="T105" s="6"/>
      <c r="U105" s="6"/>
      <c r="V105" s="6"/>
    </row>
    <row r="106" spans="2:22" x14ac:dyDescent="0.3">
      <c r="B106" s="6"/>
      <c r="C106" s="6"/>
      <c r="D106" s="6"/>
      <c r="E106" s="6"/>
      <c r="F106" s="6"/>
      <c r="G106" s="6"/>
      <c r="H106" s="6"/>
      <c r="I106" t="s">
        <v>193</v>
      </c>
      <c r="J106" s="6"/>
      <c r="K106" s="6"/>
      <c r="L106" s="6"/>
      <c r="M106" s="6"/>
      <c r="N106" s="6"/>
      <c r="O106" s="6"/>
      <c r="P106" s="6"/>
      <c r="Q106" s="6"/>
      <c r="R106" s="6"/>
      <c r="S106" s="6"/>
      <c r="T106" s="6"/>
      <c r="U106" s="6"/>
      <c r="V106" s="6"/>
    </row>
    <row r="107" spans="2:22" x14ac:dyDescent="0.3">
      <c r="B107" s="6"/>
      <c r="C107" s="6"/>
      <c r="D107" s="6"/>
      <c r="E107" s="6"/>
      <c r="F107" s="6"/>
      <c r="G107" s="6"/>
      <c r="H107" s="6"/>
      <c r="I107" t="s">
        <v>194</v>
      </c>
      <c r="J107" s="6"/>
      <c r="K107" s="6"/>
      <c r="L107" s="6"/>
      <c r="M107" s="6"/>
      <c r="N107" s="6"/>
      <c r="O107" s="6"/>
      <c r="P107" s="6"/>
      <c r="Q107" s="6"/>
      <c r="R107" s="6"/>
      <c r="S107" s="6"/>
      <c r="T107" s="6"/>
      <c r="U107" s="6"/>
      <c r="V107" s="6"/>
    </row>
    <row r="108" spans="2:22" x14ac:dyDescent="0.3">
      <c r="B108"/>
      <c r="I108" t="s">
        <v>195</v>
      </c>
    </row>
    <row r="112" spans="2:22" x14ac:dyDescent="0.3">
      <c r="B112"/>
      <c r="I112" t="s">
        <v>196</v>
      </c>
    </row>
    <row r="113" spans="2:9" x14ac:dyDescent="0.3">
      <c r="B113"/>
      <c r="I113" t="s">
        <v>197</v>
      </c>
    </row>
    <row r="114" spans="2:9" x14ac:dyDescent="0.3">
      <c r="B114"/>
      <c r="I114" t="s">
        <v>198</v>
      </c>
    </row>
    <row r="115" spans="2:9" x14ac:dyDescent="0.3">
      <c r="B115"/>
      <c r="I115" t="s">
        <v>199</v>
      </c>
    </row>
    <row r="116" spans="2:9" x14ac:dyDescent="0.3">
      <c r="B116"/>
      <c r="I116" t="s">
        <v>200</v>
      </c>
    </row>
  </sheetData>
  <sheetProtection sheet="1" selectLockedCells="1" selectUnlockedCells="1"/>
  <mergeCells count="10">
    <mergeCell ref="B56:G56"/>
    <mergeCell ref="J56:O56"/>
    <mergeCell ref="Q56:V56"/>
    <mergeCell ref="B82:G82"/>
    <mergeCell ref="B4:G4"/>
    <mergeCell ref="J4:O4"/>
    <mergeCell ref="Q4:V4"/>
    <mergeCell ref="B30:G30"/>
    <mergeCell ref="J30:O30"/>
    <mergeCell ref="Q30:V30"/>
  </mergeCells>
  <pageMargins left="0.7" right="0.7" top="0.75" bottom="0.75" header="0.3" footer="0.3"/>
  <pageSetup scale="3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U116"/>
  <sheetViews>
    <sheetView showGridLines="0" zoomScale="95" zoomScaleNormal="95" workbookViewId="0"/>
  </sheetViews>
  <sheetFormatPr defaultRowHeight="14.4" x14ac:dyDescent="0.3"/>
  <cols>
    <col min="1" max="1" width="6.6640625" style="2" customWidth="1"/>
    <col min="2" max="6" width="12.6640625" customWidth="1"/>
    <col min="7" max="7" width="3.6640625" customWidth="1"/>
    <col min="8" max="8" width="0" hidden="1" customWidth="1"/>
    <col min="9" max="9" width="6.6640625" customWidth="1"/>
    <col min="10" max="14" width="12.6640625" customWidth="1"/>
    <col min="15" max="15" width="3.6640625" customWidth="1"/>
    <col min="16" max="16" width="6.6640625" customWidth="1"/>
    <col min="17" max="21" width="12.6640625" customWidth="1"/>
  </cols>
  <sheetData>
    <row r="1" spans="1:21" ht="60.75" customHeight="1" x14ac:dyDescent="0.3">
      <c r="C1" s="27" t="s">
        <v>203</v>
      </c>
    </row>
    <row r="2" spans="1:21" ht="15" customHeight="1" x14ac:dyDescent="0.3">
      <c r="C2" s="1"/>
    </row>
    <row r="3" spans="1:21" ht="15" customHeight="1" x14ac:dyDescent="0.3">
      <c r="C3" s="1"/>
    </row>
    <row r="4" spans="1:21" ht="23.4" x14ac:dyDescent="0.3">
      <c r="A4" s="44" t="s">
        <v>152</v>
      </c>
      <c r="B4" s="45"/>
      <c r="C4" s="45"/>
      <c r="D4" s="45"/>
      <c r="E4" s="45"/>
      <c r="F4" s="46"/>
      <c r="I4" s="44" t="s">
        <v>151</v>
      </c>
      <c r="J4" s="45"/>
      <c r="K4" s="45"/>
      <c r="L4" s="45"/>
      <c r="M4" s="45"/>
      <c r="N4" s="46"/>
      <c r="P4" s="44" t="s">
        <v>156</v>
      </c>
      <c r="Q4" s="45"/>
      <c r="R4" s="45"/>
      <c r="S4" s="45"/>
      <c r="T4" s="45"/>
      <c r="U4" s="46"/>
    </row>
    <row r="5" spans="1:21" ht="28.8" x14ac:dyDescent="0.3">
      <c r="A5" s="40" t="s">
        <v>150</v>
      </c>
      <c r="B5" s="40" t="s">
        <v>1</v>
      </c>
      <c r="C5" s="41" t="s">
        <v>2</v>
      </c>
      <c r="D5" s="41" t="s">
        <v>3</v>
      </c>
      <c r="E5" s="41" t="s">
        <v>202</v>
      </c>
      <c r="F5" s="41" t="s">
        <v>59</v>
      </c>
      <c r="I5" s="40" t="s">
        <v>150</v>
      </c>
      <c r="J5" s="40" t="s">
        <v>392</v>
      </c>
      <c r="K5" s="41" t="s">
        <v>393</v>
      </c>
      <c r="L5" s="41" t="s">
        <v>394</v>
      </c>
      <c r="M5" s="41" t="s">
        <v>202</v>
      </c>
      <c r="N5" s="41" t="s">
        <v>59</v>
      </c>
      <c r="P5" s="40" t="s">
        <v>150</v>
      </c>
      <c r="Q5" s="40" t="s">
        <v>392</v>
      </c>
      <c r="R5" s="41" t="s">
        <v>393</v>
      </c>
      <c r="S5" s="41" t="s">
        <v>394</v>
      </c>
      <c r="T5" s="41" t="s">
        <v>202</v>
      </c>
      <c r="U5" s="41" t="s">
        <v>59</v>
      </c>
    </row>
    <row r="6" spans="1:21" x14ac:dyDescent="0.3">
      <c r="A6" s="8">
        <f>Questions!$F$2</f>
        <v>2023</v>
      </c>
      <c r="B6" s="8">
        <f>COUNTIF(hazard_1,10)</f>
        <v>0</v>
      </c>
      <c r="C6" s="8">
        <f>COUNTIF(hazard_1,5)</f>
        <v>0</v>
      </c>
      <c r="D6" s="8">
        <f>COUNTIF(hazard_1,0)</f>
        <v>0</v>
      </c>
      <c r="E6" s="8">
        <f>COUNTIF(hazard_1,"")</f>
        <v>49</v>
      </c>
      <c r="F6" s="8">
        <f>SUM(B6:E6)</f>
        <v>49</v>
      </c>
      <c r="H6" t="s">
        <v>160</v>
      </c>
      <c r="I6" s="8">
        <f>Questions!$F$2</f>
        <v>2023</v>
      </c>
      <c r="J6" s="8">
        <f>COUNTIF(hiring_1,10)</f>
        <v>0</v>
      </c>
      <c r="K6" s="8">
        <f>COUNTIF(hiring_1,5)</f>
        <v>0</v>
      </c>
      <c r="L6" s="8">
        <f>COUNTIF(hiring_1,0)</f>
        <v>0</v>
      </c>
      <c r="M6" s="8">
        <f>COUNTIF(hiring_1,"")</f>
        <v>47</v>
      </c>
      <c r="N6" s="8">
        <f>SUM(J6:M6)</f>
        <v>47</v>
      </c>
      <c r="P6" s="8">
        <f>Questions!$F$2</f>
        <v>2023</v>
      </c>
      <c r="Q6" s="8">
        <f>COUNTIF(incident_1,10)</f>
        <v>0</v>
      </c>
      <c r="R6" s="8">
        <f>COUNTIF(incident_1,5)</f>
        <v>0</v>
      </c>
      <c r="S6" s="8">
        <f>COUNTIF(incident_1,0)</f>
        <v>0</v>
      </c>
      <c r="T6" s="8">
        <f>COUNTIF(incident_1,"")</f>
        <v>18</v>
      </c>
      <c r="U6" s="8">
        <f>SUM(Q6:T6)</f>
        <v>18</v>
      </c>
    </row>
    <row r="7" spans="1:21" x14ac:dyDescent="0.3">
      <c r="A7" s="8">
        <f>Questions!$H$2</f>
        <v>2024</v>
      </c>
      <c r="B7" s="8">
        <f>COUNTIF(hazard_2,10)</f>
        <v>0</v>
      </c>
      <c r="C7" s="8">
        <f>COUNTIF(hazard_2,5)</f>
        <v>0</v>
      </c>
      <c r="D7" s="8">
        <f>COUNTIF(hazard_2,0)</f>
        <v>0</v>
      </c>
      <c r="E7" s="8">
        <f>COUNTIF(hazard_2,"")</f>
        <v>49</v>
      </c>
      <c r="F7" s="8">
        <f>SUM(B7:E7)</f>
        <v>49</v>
      </c>
      <c r="H7" t="s">
        <v>158</v>
      </c>
      <c r="I7" s="8">
        <f>Questions!$H$2</f>
        <v>2024</v>
      </c>
      <c r="J7" s="8">
        <f>COUNTIF(hiring_2,10)</f>
        <v>0</v>
      </c>
      <c r="K7" s="8">
        <f>COUNTIF(hiring_2,5)</f>
        <v>0</v>
      </c>
      <c r="L7" s="8">
        <f>COUNTIF(hiring_2,0)</f>
        <v>0</v>
      </c>
      <c r="M7" s="8">
        <f>COUNTIF(hiring_2,"")</f>
        <v>47</v>
      </c>
      <c r="N7" s="8">
        <f>SUM(J7:M7)</f>
        <v>47</v>
      </c>
      <c r="P7" s="8">
        <f>Questions!$H$2</f>
        <v>2024</v>
      </c>
      <c r="Q7" s="8">
        <f>COUNTIF(incident_2,10)</f>
        <v>0</v>
      </c>
      <c r="R7" s="8">
        <f>COUNTIF(incident_2,5)</f>
        <v>0</v>
      </c>
      <c r="S7" s="8">
        <f>COUNTIF(incident_2,0)</f>
        <v>0</v>
      </c>
      <c r="T7" s="8">
        <f>COUNTIF(incident_2,"")</f>
        <v>18</v>
      </c>
      <c r="U7" s="8">
        <f>SUM(Q7:T7)</f>
        <v>18</v>
      </c>
    </row>
    <row r="8" spans="1:21" x14ac:dyDescent="0.3">
      <c r="A8" s="8">
        <f>Questions!$J$2</f>
        <v>2025</v>
      </c>
      <c r="B8" s="8">
        <f>COUNTIF(hazard_3,10)</f>
        <v>0</v>
      </c>
      <c r="C8" s="8">
        <f>COUNTIF(hazard_3,5)</f>
        <v>0</v>
      </c>
      <c r="D8" s="8">
        <f>COUNTIF(hazard_3,0)</f>
        <v>0</v>
      </c>
      <c r="E8" s="8">
        <f>COUNTIF(hazard_3,"")</f>
        <v>49</v>
      </c>
      <c r="F8" s="8">
        <f>SUM(B8:E8)</f>
        <v>49</v>
      </c>
      <c r="H8" t="s">
        <v>159</v>
      </c>
      <c r="I8" s="8">
        <f>Questions!$J$2</f>
        <v>2025</v>
      </c>
      <c r="J8" s="8">
        <f>COUNTIF(hiring_3,10)</f>
        <v>0</v>
      </c>
      <c r="K8" s="8">
        <f>COUNTIF(hiring_3,5)</f>
        <v>0</v>
      </c>
      <c r="L8" s="8">
        <f>COUNTIF(hiring_3,0)</f>
        <v>0</v>
      </c>
      <c r="M8" s="8">
        <f>COUNTIF(hiring_3,"")</f>
        <v>47</v>
      </c>
      <c r="N8" s="8">
        <f>SUM(J8:M8)</f>
        <v>47</v>
      </c>
      <c r="P8" s="8">
        <f>Questions!$J$2</f>
        <v>2025</v>
      </c>
      <c r="Q8" s="8">
        <f>COUNTIF(incident_3,10)</f>
        <v>0</v>
      </c>
      <c r="R8" s="8">
        <f>COUNTIF(incident_3,5)</f>
        <v>0</v>
      </c>
      <c r="S8" s="8">
        <f>COUNTIF(incident_3,0)</f>
        <v>0</v>
      </c>
      <c r="T8" s="8">
        <f>COUNTIF(incident_3,"")</f>
        <v>18</v>
      </c>
      <c r="U8" s="8">
        <f>SUM(Q8:T8)</f>
        <v>18</v>
      </c>
    </row>
    <row r="9" spans="1:21" x14ac:dyDescent="0.3">
      <c r="A9" s="8">
        <f>Questions!$L$2</f>
        <v>2026</v>
      </c>
      <c r="B9" s="8">
        <f>COUNTIF(hazard_4,10)</f>
        <v>0</v>
      </c>
      <c r="C9" s="8">
        <f>COUNTIF(hazard_4,5)</f>
        <v>0</v>
      </c>
      <c r="D9" s="8">
        <f>COUNTIF(hazard_4,0)</f>
        <v>0</v>
      </c>
      <c r="E9" s="8">
        <f>COUNTIF(hazard_4,"")</f>
        <v>49</v>
      </c>
      <c r="F9" s="8">
        <f>SUM(B9:E9)</f>
        <v>49</v>
      </c>
      <c r="H9" t="s">
        <v>166</v>
      </c>
      <c r="I9" s="8">
        <f>Questions!$L$2</f>
        <v>2026</v>
      </c>
      <c r="J9" s="8">
        <f>COUNTIF(hiring_4,10)</f>
        <v>0</v>
      </c>
      <c r="K9" s="8">
        <f>COUNTIF(hiring_4,5)</f>
        <v>0</v>
      </c>
      <c r="L9" s="8">
        <f>COUNTIF(hiring_4,0)</f>
        <v>0</v>
      </c>
      <c r="M9" s="8">
        <f>COUNTIF(hiring_4,"")</f>
        <v>47</v>
      </c>
      <c r="N9" s="8">
        <f>SUM(J9:M9)</f>
        <v>47</v>
      </c>
      <c r="P9" s="8">
        <f>Questions!$L$2</f>
        <v>2026</v>
      </c>
      <c r="Q9" s="8">
        <f>COUNTIF(incident_4,10)</f>
        <v>0</v>
      </c>
      <c r="R9" s="8">
        <f>COUNTIF(incident_4,5)</f>
        <v>0</v>
      </c>
      <c r="S9" s="8">
        <f>COUNTIF(incident_4,0)</f>
        <v>0</v>
      </c>
      <c r="T9" s="8">
        <f>COUNTIF(incident_4,"")</f>
        <v>18</v>
      </c>
      <c r="U9" s="8">
        <f>SUM(Q9:T9)</f>
        <v>18</v>
      </c>
    </row>
    <row r="10" spans="1:21" x14ac:dyDescent="0.3">
      <c r="A10" s="8">
        <f>Questions!$N$2</f>
        <v>2027</v>
      </c>
      <c r="B10" s="8">
        <f>COUNTIF(hazard_5,10)</f>
        <v>0</v>
      </c>
      <c r="C10" s="8">
        <f>COUNTIF(hazard_5,5)</f>
        <v>0</v>
      </c>
      <c r="D10" s="8">
        <f>COUNTIF(hazard_5,0)</f>
        <v>0</v>
      </c>
      <c r="E10" s="8">
        <f>COUNTIF(hazard_5,"")</f>
        <v>49</v>
      </c>
      <c r="F10" s="8">
        <f>SUM(B10:E10)</f>
        <v>49</v>
      </c>
      <c r="H10" t="s">
        <v>165</v>
      </c>
      <c r="I10" s="8">
        <f>Questions!$N$2</f>
        <v>2027</v>
      </c>
      <c r="J10" s="8">
        <f>COUNTIF(hiring_5,10)</f>
        <v>0</v>
      </c>
      <c r="K10" s="8">
        <f>COUNTIF(hiring_5,5)</f>
        <v>0</v>
      </c>
      <c r="L10" s="8">
        <f>COUNTIF(hiring_5,0)</f>
        <v>0</v>
      </c>
      <c r="M10" s="8">
        <f>COUNTIF(hiring_5,"")</f>
        <v>47</v>
      </c>
      <c r="N10" s="8">
        <f>SUM(J10:M10)</f>
        <v>47</v>
      </c>
      <c r="P10" s="8">
        <f>Questions!$N$2</f>
        <v>2027</v>
      </c>
      <c r="Q10" s="8">
        <f>COUNTIF(incident_5,10)</f>
        <v>0</v>
      </c>
      <c r="R10" s="8">
        <f>COUNTIF(incident_5,5)</f>
        <v>0</v>
      </c>
      <c r="S10" s="8">
        <f>COUNTIF(incident_5,0)</f>
        <v>0</v>
      </c>
      <c r="T10" s="8">
        <f>COUNTIF(incident_5,"")</f>
        <v>18</v>
      </c>
      <c r="U10" s="8">
        <f>SUM(Q10:T10)</f>
        <v>18</v>
      </c>
    </row>
    <row r="24" spans="1:21" x14ac:dyDescent="0.3">
      <c r="H24" t="s">
        <v>164</v>
      </c>
    </row>
    <row r="25" spans="1:21" x14ac:dyDescent="0.3">
      <c r="H25" t="s">
        <v>163</v>
      </c>
    </row>
    <row r="26" spans="1:21" x14ac:dyDescent="0.3">
      <c r="H26" t="s">
        <v>162</v>
      </c>
    </row>
    <row r="27" spans="1:21" x14ac:dyDescent="0.3">
      <c r="H27" t="s">
        <v>161</v>
      </c>
    </row>
    <row r="30" spans="1:21" ht="23.4" x14ac:dyDescent="0.3">
      <c r="A30" s="44" t="s">
        <v>0</v>
      </c>
      <c r="B30" s="45"/>
      <c r="C30" s="45"/>
      <c r="D30" s="45"/>
      <c r="E30" s="45"/>
      <c r="F30" s="46"/>
      <c r="I30" s="44" t="s">
        <v>155</v>
      </c>
      <c r="J30" s="45"/>
      <c r="K30" s="45"/>
      <c r="L30" s="45"/>
      <c r="M30" s="45"/>
      <c r="N30" s="46"/>
      <c r="P30" s="44" t="s">
        <v>517</v>
      </c>
      <c r="Q30" s="45"/>
      <c r="R30" s="45"/>
      <c r="S30" s="45"/>
      <c r="T30" s="45"/>
      <c r="U30" s="46"/>
    </row>
    <row r="31" spans="1:21" ht="28.8" x14ac:dyDescent="0.3">
      <c r="A31" s="40" t="s">
        <v>150</v>
      </c>
      <c r="B31" s="40" t="s">
        <v>1</v>
      </c>
      <c r="C31" s="41" t="s">
        <v>2</v>
      </c>
      <c r="D31" s="41" t="s">
        <v>3</v>
      </c>
      <c r="E31" s="41" t="s">
        <v>202</v>
      </c>
      <c r="F31" s="41" t="s">
        <v>59</v>
      </c>
      <c r="I31" s="40" t="s">
        <v>150</v>
      </c>
      <c r="J31" s="40" t="s">
        <v>507</v>
      </c>
      <c r="K31" s="41"/>
      <c r="L31" s="41" t="s">
        <v>509</v>
      </c>
      <c r="M31" s="41" t="s">
        <v>202</v>
      </c>
      <c r="N31" s="41" t="s">
        <v>59</v>
      </c>
      <c r="P31" s="40" t="s">
        <v>150</v>
      </c>
      <c r="Q31" s="40" t="s">
        <v>392</v>
      </c>
      <c r="R31" s="41" t="s">
        <v>393</v>
      </c>
      <c r="S31" s="41" t="s">
        <v>394</v>
      </c>
      <c r="T31" s="41" t="s">
        <v>202</v>
      </c>
      <c r="U31" s="41" t="s">
        <v>59</v>
      </c>
    </row>
    <row r="32" spans="1:21" x14ac:dyDescent="0.3">
      <c r="A32" s="8">
        <f>Questions!$F$2</f>
        <v>2023</v>
      </c>
      <c r="B32" s="8">
        <f>COUNTIF(commitment_1,10)</f>
        <v>0</v>
      </c>
      <c r="C32" s="8">
        <f>COUNTIF(commitment_1,5)</f>
        <v>0</v>
      </c>
      <c r="D32" s="8">
        <f>COUNTIF(commitment_1,0)</f>
        <v>0</v>
      </c>
      <c r="E32" s="8">
        <f>COUNTIF(commitment_1,"")</f>
        <v>15</v>
      </c>
      <c r="F32" s="8">
        <f>SUM(B32:E32)</f>
        <v>15</v>
      </c>
      <c r="H32" t="s">
        <v>167</v>
      </c>
      <c r="I32" s="8">
        <f>Questions!$F$2</f>
        <v>2023</v>
      </c>
      <c r="J32" s="8">
        <f>COUNTIF(record_1,10)</f>
        <v>0</v>
      </c>
      <c r="K32" s="9"/>
      <c r="L32" s="8">
        <f>COUNTIF(record_1,0)</f>
        <v>0</v>
      </c>
      <c r="M32" s="8">
        <f>COUNTIF(record_1,"")</f>
        <v>21</v>
      </c>
      <c r="N32" s="8">
        <f>SUM(J32:M32)</f>
        <v>21</v>
      </c>
      <c r="P32" s="8">
        <f>Questions!$F$2</f>
        <v>2023</v>
      </c>
      <c r="Q32" s="8">
        <f>COUNTIF(work_1,10)</f>
        <v>0</v>
      </c>
      <c r="R32" s="8">
        <f>COUNTIF(work_1,5)</f>
        <v>0</v>
      </c>
      <c r="S32" s="8">
        <f>COUNTIF(work_1,0)</f>
        <v>0</v>
      </c>
      <c r="T32" s="8">
        <f>COUNTIF(work_1,"")</f>
        <v>20</v>
      </c>
      <c r="U32" s="8">
        <f>SUM(Q32:T32)</f>
        <v>20</v>
      </c>
    </row>
    <row r="33" spans="1:21" x14ac:dyDescent="0.3">
      <c r="A33" s="8">
        <f>Questions!$H$2</f>
        <v>2024</v>
      </c>
      <c r="B33" s="8">
        <f>COUNTIF(commitment_2,10)</f>
        <v>0</v>
      </c>
      <c r="C33" s="8">
        <f>COUNTIF(commitment_2,5)</f>
        <v>0</v>
      </c>
      <c r="D33" s="8">
        <f>COUNTIF(commitment_2,0)</f>
        <v>0</v>
      </c>
      <c r="E33" s="8">
        <f>COUNTIF(commitment_2,"")</f>
        <v>15</v>
      </c>
      <c r="F33" s="8">
        <f>SUM(B33:E33)</f>
        <v>15</v>
      </c>
      <c r="H33" t="s">
        <v>168</v>
      </c>
      <c r="I33" s="8">
        <f>Questions!$H$2</f>
        <v>2024</v>
      </c>
      <c r="J33" s="8">
        <f>COUNTIF(record_2,10)</f>
        <v>0</v>
      </c>
      <c r="K33" s="9"/>
      <c r="L33" s="8">
        <f>COUNTIF(record_2,0)</f>
        <v>0</v>
      </c>
      <c r="M33" s="8">
        <f>COUNTIF(record_2,"")</f>
        <v>21</v>
      </c>
      <c r="N33" s="8">
        <f>SUM(J33:M33)</f>
        <v>21</v>
      </c>
      <c r="P33" s="8">
        <f>Questions!$H$2</f>
        <v>2024</v>
      </c>
      <c r="Q33" s="8">
        <f>COUNTIF(work_2,10)</f>
        <v>0</v>
      </c>
      <c r="R33" s="8">
        <f>COUNTIF(work_2,5)</f>
        <v>0</v>
      </c>
      <c r="S33" s="8">
        <f>COUNTIF(work_2,0)</f>
        <v>0</v>
      </c>
      <c r="T33" s="8">
        <f>COUNTIF(work_2,"")</f>
        <v>20</v>
      </c>
      <c r="U33" s="8">
        <f>SUM(Q33:T33)</f>
        <v>20</v>
      </c>
    </row>
    <row r="34" spans="1:21" x14ac:dyDescent="0.3">
      <c r="A34" s="8">
        <f>Questions!$J$2</f>
        <v>2025</v>
      </c>
      <c r="B34" s="8">
        <f>COUNTIF(commitment_3,10)</f>
        <v>0</v>
      </c>
      <c r="C34" s="8">
        <f>COUNTIF(commitment_3,5)</f>
        <v>0</v>
      </c>
      <c r="D34" s="8">
        <f>COUNTIF(commitment_3,0)</f>
        <v>0</v>
      </c>
      <c r="E34" s="8">
        <f>COUNTIF(commitment_3,"")</f>
        <v>15</v>
      </c>
      <c r="F34" s="8">
        <f>SUM(B34:E34)</f>
        <v>15</v>
      </c>
      <c r="H34" t="s">
        <v>169</v>
      </c>
      <c r="I34" s="8">
        <f>Questions!$J$2</f>
        <v>2025</v>
      </c>
      <c r="J34" s="8">
        <f>COUNTIF(record_3,10)</f>
        <v>0</v>
      </c>
      <c r="K34" s="9"/>
      <c r="L34" s="8">
        <f>COUNTIF(record_3,0)</f>
        <v>0</v>
      </c>
      <c r="M34" s="8">
        <f>COUNTIF(record_3,"")</f>
        <v>21</v>
      </c>
      <c r="N34" s="8">
        <f>SUM(J34:M34)</f>
        <v>21</v>
      </c>
      <c r="P34" s="8">
        <f>Questions!$J$2</f>
        <v>2025</v>
      </c>
      <c r="Q34" s="8">
        <f>COUNTIF(work_3,10)</f>
        <v>0</v>
      </c>
      <c r="R34" s="8">
        <f>COUNTIF(work_3,5)</f>
        <v>0</v>
      </c>
      <c r="S34" s="8">
        <f>COUNTIF(work_3,0)</f>
        <v>0</v>
      </c>
      <c r="T34" s="8">
        <f>COUNTIF(work_3,"")</f>
        <v>20</v>
      </c>
      <c r="U34" s="8">
        <f>SUM(Q34:T34)</f>
        <v>20</v>
      </c>
    </row>
    <row r="35" spans="1:21" x14ac:dyDescent="0.3">
      <c r="A35" s="8">
        <f>Questions!$L$2</f>
        <v>2026</v>
      </c>
      <c r="B35" s="8">
        <f>COUNTIF(commitment_4,10)</f>
        <v>0</v>
      </c>
      <c r="C35" s="8">
        <f>COUNTIF(commitment_4,5)</f>
        <v>0</v>
      </c>
      <c r="D35" s="8">
        <f>COUNTIF(commitment_4,0)</f>
        <v>0</v>
      </c>
      <c r="E35" s="8">
        <f>COUNTIF(commitment_4,"")</f>
        <v>15</v>
      </c>
      <c r="F35" s="8">
        <f>SUM(B35:E35)</f>
        <v>15</v>
      </c>
      <c r="H35" t="s">
        <v>170</v>
      </c>
      <c r="I35" s="8">
        <f>Questions!$L$2</f>
        <v>2026</v>
      </c>
      <c r="J35" s="8">
        <f>COUNTIF(record_4,10)</f>
        <v>0</v>
      </c>
      <c r="K35" s="9"/>
      <c r="L35" s="8">
        <f>COUNTIF(record_4,0)</f>
        <v>0</v>
      </c>
      <c r="M35" s="8">
        <f>COUNTIF(record_4,"")</f>
        <v>21</v>
      </c>
      <c r="N35" s="8">
        <f>SUM(J35:M35)</f>
        <v>21</v>
      </c>
      <c r="P35" s="8">
        <f>Questions!$L$2</f>
        <v>2026</v>
      </c>
      <c r="Q35" s="8">
        <f>COUNTIF(work_4,10)</f>
        <v>0</v>
      </c>
      <c r="R35" s="8">
        <f>COUNTIF(work_4,5)</f>
        <v>0</v>
      </c>
      <c r="S35" s="8">
        <f>COUNTIF(work_4,0)</f>
        <v>0</v>
      </c>
      <c r="T35" s="8">
        <f>COUNTIF(work_4,"")</f>
        <v>20</v>
      </c>
      <c r="U35" s="8">
        <f>SUM(Q35:T35)</f>
        <v>20</v>
      </c>
    </row>
    <row r="36" spans="1:21" x14ac:dyDescent="0.3">
      <c r="A36" s="8">
        <f>Questions!$N$2</f>
        <v>2027</v>
      </c>
      <c r="B36" s="8">
        <f>COUNTIF(commitment_5,10)</f>
        <v>0</v>
      </c>
      <c r="C36" s="8">
        <f>COUNTIF(commitment_5,5)</f>
        <v>0</v>
      </c>
      <c r="D36" s="8">
        <f>COUNTIF(commitment_5,0)</f>
        <v>0</v>
      </c>
      <c r="E36" s="8">
        <f>COUNTIF(commitment_5,"")</f>
        <v>15</v>
      </c>
      <c r="F36" s="8">
        <f>SUM(B36:E36)</f>
        <v>15</v>
      </c>
      <c r="H36" t="s">
        <v>171</v>
      </c>
      <c r="I36" s="8">
        <f>Questions!$N$2</f>
        <v>2027</v>
      </c>
      <c r="J36" s="8">
        <f>COUNTIF(record_5,10)</f>
        <v>0</v>
      </c>
      <c r="K36" s="9"/>
      <c r="L36" s="8">
        <f>COUNTIF(record_5,0)</f>
        <v>0</v>
      </c>
      <c r="M36" s="8">
        <f>COUNTIF(record_5,"")</f>
        <v>21</v>
      </c>
      <c r="N36" s="8">
        <f>SUM(J36:M36)</f>
        <v>21</v>
      </c>
      <c r="P36" s="8">
        <f>Questions!$N$2</f>
        <v>2027</v>
      </c>
      <c r="Q36" s="8">
        <f>COUNTIF(work_5,10)</f>
        <v>0</v>
      </c>
      <c r="R36" s="8">
        <f>COUNTIF(work_5,5)</f>
        <v>0</v>
      </c>
      <c r="S36" s="8">
        <f>COUNTIF(work_5,0)</f>
        <v>0</v>
      </c>
      <c r="T36" s="8">
        <f>COUNTIF(work_5,"")</f>
        <v>20</v>
      </c>
      <c r="U36" s="8">
        <f>SUM(Q36:T36)</f>
        <v>20</v>
      </c>
    </row>
    <row r="51" spans="1:21" x14ac:dyDescent="0.3">
      <c r="H51" t="s">
        <v>172</v>
      </c>
    </row>
    <row r="52" spans="1:21" x14ac:dyDescent="0.3">
      <c r="H52" t="s">
        <v>173</v>
      </c>
    </row>
    <row r="54" spans="1:21" x14ac:dyDescent="0.3">
      <c r="H54" t="s">
        <v>174</v>
      </c>
    </row>
    <row r="55" spans="1:21" x14ac:dyDescent="0.3">
      <c r="H55" t="s">
        <v>175</v>
      </c>
    </row>
    <row r="56" spans="1:21" ht="23.4" x14ac:dyDescent="0.3">
      <c r="A56" s="44" t="s">
        <v>122</v>
      </c>
      <c r="B56" s="45"/>
      <c r="C56" s="45"/>
      <c r="D56" s="45"/>
      <c r="E56" s="45"/>
      <c r="F56" s="46"/>
      <c r="H56" t="s">
        <v>176</v>
      </c>
      <c r="I56" s="44" t="s">
        <v>154</v>
      </c>
      <c r="J56" s="45"/>
      <c r="K56" s="45"/>
      <c r="L56" s="45"/>
      <c r="M56" s="45"/>
      <c r="N56" s="46"/>
      <c r="P56" s="44" t="s">
        <v>149</v>
      </c>
      <c r="Q56" s="45"/>
      <c r="R56" s="45"/>
      <c r="S56" s="45"/>
      <c r="T56" s="45"/>
      <c r="U56" s="46"/>
    </row>
    <row r="57" spans="1:21" ht="28.8" x14ac:dyDescent="0.3">
      <c r="A57" s="40" t="s">
        <v>150</v>
      </c>
      <c r="B57" s="40" t="s">
        <v>1</v>
      </c>
      <c r="C57" s="41" t="s">
        <v>2</v>
      </c>
      <c r="D57" s="41" t="s">
        <v>3</v>
      </c>
      <c r="E57" s="41" t="s">
        <v>202</v>
      </c>
      <c r="F57" s="41" t="s">
        <v>59</v>
      </c>
      <c r="I57" s="40" t="s">
        <v>150</v>
      </c>
      <c r="J57" s="40" t="s">
        <v>507</v>
      </c>
      <c r="K57" s="41" t="s">
        <v>508</v>
      </c>
      <c r="L57" s="41" t="s">
        <v>509</v>
      </c>
      <c r="M57" s="41" t="s">
        <v>202</v>
      </c>
      <c r="N57" s="41" t="s">
        <v>59</v>
      </c>
      <c r="P57" s="40" t="s">
        <v>150</v>
      </c>
      <c r="Q57" s="40" t="s">
        <v>1</v>
      </c>
      <c r="R57" s="41" t="s">
        <v>2</v>
      </c>
      <c r="S57" s="41" t="s">
        <v>3</v>
      </c>
      <c r="T57" s="41" t="s">
        <v>202</v>
      </c>
      <c r="U57" s="41" t="s">
        <v>59</v>
      </c>
    </row>
    <row r="58" spans="1:21" x14ac:dyDescent="0.3">
      <c r="A58" s="8">
        <f>Questions!$F$2</f>
        <v>2023</v>
      </c>
      <c r="B58" s="8">
        <f>COUNTIF(roles_1,10)</f>
        <v>0</v>
      </c>
      <c r="C58" s="8">
        <f>COUNTIF(roles_1,5)</f>
        <v>0</v>
      </c>
      <c r="D58" s="8">
        <f>COUNTIF(roles_1,0)</f>
        <v>0</v>
      </c>
      <c r="E58" s="8">
        <f>COUNTIF(roles_1,"")</f>
        <v>21</v>
      </c>
      <c r="F58" s="8">
        <f>SUM(B58:E58)</f>
        <v>21</v>
      </c>
      <c r="I58" s="8">
        <f>Questions!$F$2</f>
        <v>2023</v>
      </c>
      <c r="J58" s="8">
        <f>COUNTIF(safety_1,10)</f>
        <v>0</v>
      </c>
      <c r="K58" s="8">
        <f>COUNTIF(safety_1,5)</f>
        <v>0</v>
      </c>
      <c r="L58" s="8">
        <f>COUNTIF(safety_1,0)</f>
        <v>0</v>
      </c>
      <c r="M58" s="8">
        <f>COUNTIF(safety_1,"")</f>
        <v>27</v>
      </c>
      <c r="N58" s="8">
        <f>SUM(J58:M58)</f>
        <v>27</v>
      </c>
      <c r="P58" s="8">
        <f>Questions!$F$2</f>
        <v>2023</v>
      </c>
      <c r="Q58" s="8">
        <f>COUNTIF(coordinator_1,10)</f>
        <v>0</v>
      </c>
      <c r="R58" s="8">
        <f>COUNTIF(coordinator_1,5)</f>
        <v>0</v>
      </c>
      <c r="S58" s="8">
        <f>COUNTIF(coordinator_1,0)</f>
        <v>0</v>
      </c>
      <c r="T58" s="8">
        <f>COUNTIF(coordinator_1,"")</f>
        <v>12</v>
      </c>
      <c r="U58" s="8">
        <f>SUM(Q58:T58)</f>
        <v>12</v>
      </c>
    </row>
    <row r="59" spans="1:21" x14ac:dyDescent="0.3">
      <c r="A59" s="8">
        <f>Questions!$H$2</f>
        <v>2024</v>
      </c>
      <c r="B59" s="8">
        <f>COUNTIF(roles_2,10)</f>
        <v>0</v>
      </c>
      <c r="C59" s="8">
        <f>COUNTIF(roles_2,5)</f>
        <v>0</v>
      </c>
      <c r="D59" s="8">
        <f>COUNTIF(roles_2,0)</f>
        <v>0</v>
      </c>
      <c r="E59" s="8">
        <f>COUNTIF(roles_2,"")</f>
        <v>21</v>
      </c>
      <c r="F59" s="8">
        <f>SUM(B59:E59)</f>
        <v>21</v>
      </c>
      <c r="I59" s="8">
        <f>Questions!$H$2</f>
        <v>2024</v>
      </c>
      <c r="J59" s="8">
        <f>COUNTIF(safety_2,10)</f>
        <v>0</v>
      </c>
      <c r="K59" s="8">
        <f>COUNTIF(safety_2,5)</f>
        <v>0</v>
      </c>
      <c r="L59" s="8">
        <f>COUNTIF(safety_2,0)</f>
        <v>0</v>
      </c>
      <c r="M59" s="8">
        <f>COUNTIF(safety_2,"")</f>
        <v>27</v>
      </c>
      <c r="N59" s="8">
        <f>SUM(J59:M59)</f>
        <v>27</v>
      </c>
      <c r="P59" s="8">
        <f>Questions!$H$2</f>
        <v>2024</v>
      </c>
      <c r="Q59" s="8">
        <f>COUNTIF(coordinator_2,10)</f>
        <v>0</v>
      </c>
      <c r="R59" s="8">
        <f>COUNTIF(coordinator_2,5)</f>
        <v>0</v>
      </c>
      <c r="S59" s="8">
        <f>COUNTIF(coordinator_2,0)</f>
        <v>0</v>
      </c>
      <c r="T59" s="8">
        <f>COUNTIF(coordinator_2,"")</f>
        <v>12</v>
      </c>
      <c r="U59" s="8">
        <f>SUM(Q59:T59)</f>
        <v>12</v>
      </c>
    </row>
    <row r="60" spans="1:21" x14ac:dyDescent="0.3">
      <c r="A60" s="8">
        <f>Questions!$J$2</f>
        <v>2025</v>
      </c>
      <c r="B60" s="8">
        <f>COUNTIF(roles_3,10)</f>
        <v>0</v>
      </c>
      <c r="C60" s="8">
        <f>COUNTIF(roles_3,5)</f>
        <v>0</v>
      </c>
      <c r="D60" s="8">
        <f>COUNTIF(roles_3,0)</f>
        <v>0</v>
      </c>
      <c r="E60" s="8">
        <f>COUNTIF(roles_3,"")</f>
        <v>21</v>
      </c>
      <c r="F60" s="8">
        <f>SUM(B60:E60)</f>
        <v>21</v>
      </c>
      <c r="I60" s="8">
        <f>Questions!$J$2</f>
        <v>2025</v>
      </c>
      <c r="J60" s="8">
        <f>COUNTIF(safety_3,10)</f>
        <v>0</v>
      </c>
      <c r="K60" s="8">
        <f>COUNTIF(safety_3,5)</f>
        <v>0</v>
      </c>
      <c r="L60" s="8">
        <f>COUNTIF(safety_3,0)</f>
        <v>0</v>
      </c>
      <c r="M60" s="8">
        <f>COUNTIF(safety_3,"")</f>
        <v>27</v>
      </c>
      <c r="N60" s="8">
        <f>SUM(J60:M60)</f>
        <v>27</v>
      </c>
      <c r="P60" s="8">
        <f>Questions!$J$2</f>
        <v>2025</v>
      </c>
      <c r="Q60" s="8">
        <f>COUNTIF(coordinator_3,10)</f>
        <v>0</v>
      </c>
      <c r="R60" s="8">
        <f>COUNTIF(coordinator_3,5)</f>
        <v>0</v>
      </c>
      <c r="S60" s="8">
        <f>COUNTIF(coordinator_3,0)</f>
        <v>0</v>
      </c>
      <c r="T60" s="8">
        <f>COUNTIF(coordinator_3,"")</f>
        <v>12</v>
      </c>
      <c r="U60" s="8">
        <f>SUM(Q60:T60)</f>
        <v>12</v>
      </c>
    </row>
    <row r="61" spans="1:21" x14ac:dyDescent="0.3">
      <c r="A61" s="8">
        <f>Questions!$L$2</f>
        <v>2026</v>
      </c>
      <c r="B61" s="8">
        <f>COUNTIF(roles_4,10)</f>
        <v>0</v>
      </c>
      <c r="C61" s="8">
        <f>COUNTIF(roles_4,5)</f>
        <v>0</v>
      </c>
      <c r="D61" s="8">
        <f>COUNTIF(roles_4,0)</f>
        <v>0</v>
      </c>
      <c r="E61" s="8">
        <f>COUNTIF(roles_4,"")</f>
        <v>21</v>
      </c>
      <c r="F61" s="8">
        <f>SUM(B61:E61)</f>
        <v>21</v>
      </c>
      <c r="I61" s="8">
        <f>Questions!$L$2</f>
        <v>2026</v>
      </c>
      <c r="J61" s="8">
        <f>COUNTIF(safety_4,10)</f>
        <v>0</v>
      </c>
      <c r="K61" s="8">
        <f>COUNTIF(safety_4,5)</f>
        <v>0</v>
      </c>
      <c r="L61" s="8">
        <f>COUNTIF(safety_4,0)</f>
        <v>0</v>
      </c>
      <c r="M61" s="8">
        <f>COUNTIF(safety_4,"")</f>
        <v>27</v>
      </c>
      <c r="N61" s="8">
        <f>SUM(J61:M61)</f>
        <v>27</v>
      </c>
      <c r="P61" s="8">
        <f>Questions!$L$2</f>
        <v>2026</v>
      </c>
      <c r="Q61" s="8">
        <f>COUNTIF(coordinator_4,10)</f>
        <v>0</v>
      </c>
      <c r="R61" s="8">
        <f>COUNTIF(coordinator_4,5)</f>
        <v>0</v>
      </c>
      <c r="S61" s="8">
        <f>COUNTIF(coordinator_4,0)</f>
        <v>0</v>
      </c>
      <c r="T61" s="8">
        <f>COUNTIF(coordinator_4,"")</f>
        <v>12</v>
      </c>
      <c r="U61" s="8">
        <f>SUM(Q61:T61)</f>
        <v>12</v>
      </c>
    </row>
    <row r="62" spans="1:21" x14ac:dyDescent="0.3">
      <c r="A62" s="8">
        <f>Questions!$N$2</f>
        <v>2027</v>
      </c>
      <c r="B62" s="8">
        <f>COUNTIF(roles_5,10)</f>
        <v>0</v>
      </c>
      <c r="C62" s="8">
        <f>COUNTIF(roles_5,5)</f>
        <v>0</v>
      </c>
      <c r="D62" s="8">
        <f>COUNTIF(roles_5,0)</f>
        <v>0</v>
      </c>
      <c r="E62" s="8">
        <f>COUNTIF(roles_5,"")</f>
        <v>21</v>
      </c>
      <c r="F62" s="8">
        <f>SUM(B62:E62)</f>
        <v>21</v>
      </c>
      <c r="I62" s="8">
        <f>Questions!$N$2</f>
        <v>2027</v>
      </c>
      <c r="J62" s="8">
        <f>COUNTIF(safety_5,10)</f>
        <v>0</v>
      </c>
      <c r="K62" s="8">
        <f>COUNTIF(safety_5,5)</f>
        <v>0</v>
      </c>
      <c r="L62" s="8">
        <f>COUNTIF(safety_5,0)</f>
        <v>0</v>
      </c>
      <c r="M62" s="8">
        <f>COUNTIF(safety_5,"")</f>
        <v>27</v>
      </c>
      <c r="N62" s="8">
        <f>SUM(J62:M62)</f>
        <v>27</v>
      </c>
      <c r="P62" s="8">
        <f>Questions!$N$2</f>
        <v>2027</v>
      </c>
      <c r="Q62" s="8">
        <f>COUNTIF(coordinator_5,10)</f>
        <v>0</v>
      </c>
      <c r="R62" s="8">
        <f>COUNTIF(coordinator_5,5)</f>
        <v>0</v>
      </c>
      <c r="S62" s="8">
        <f>COUNTIF(coordinator_5,0)</f>
        <v>0</v>
      </c>
      <c r="T62" s="8">
        <f>COUNTIF(coordinator_5,"")</f>
        <v>12</v>
      </c>
      <c r="U62" s="8">
        <f>SUM(Q62:T62)</f>
        <v>12</v>
      </c>
    </row>
    <row r="68" spans="8:8" customFormat="1" x14ac:dyDescent="0.3">
      <c r="H68" t="s">
        <v>177</v>
      </c>
    </row>
    <row r="81" spans="1:8" x14ac:dyDescent="0.3">
      <c r="H81" t="s">
        <v>178</v>
      </c>
    </row>
    <row r="82" spans="1:8" ht="23.4" x14ac:dyDescent="0.3">
      <c r="A82" s="44" t="s">
        <v>153</v>
      </c>
      <c r="B82" s="45"/>
      <c r="C82" s="45"/>
      <c r="D82" s="45"/>
      <c r="E82" s="45"/>
      <c r="F82" s="46"/>
      <c r="H82" t="s">
        <v>179</v>
      </c>
    </row>
    <row r="83" spans="1:8" ht="28.8" x14ac:dyDescent="0.3">
      <c r="A83" s="40" t="s">
        <v>150</v>
      </c>
      <c r="B83" s="40" t="s">
        <v>392</v>
      </c>
      <c r="C83" s="41" t="s">
        <v>393</v>
      </c>
      <c r="D83" s="41" t="s">
        <v>394</v>
      </c>
      <c r="E83" s="41" t="s">
        <v>202</v>
      </c>
      <c r="F83" s="41" t="s">
        <v>59</v>
      </c>
      <c r="H83" t="s">
        <v>180</v>
      </c>
    </row>
    <row r="84" spans="1:8" x14ac:dyDescent="0.3">
      <c r="A84" s="8">
        <f>Questions!$F$2</f>
        <v>2023</v>
      </c>
      <c r="B84" s="8">
        <f>COUNTIF(training_1,10)</f>
        <v>0</v>
      </c>
      <c r="C84" s="8">
        <f>COUNTIF(training_1,5)</f>
        <v>0</v>
      </c>
      <c r="D84" s="8">
        <f>COUNTIF(training_1,0)</f>
        <v>0</v>
      </c>
      <c r="E84" s="8">
        <f>COUNTIF(training_1,"")</f>
        <v>48</v>
      </c>
      <c r="F84" s="8">
        <f>SUM(B84:E84)</f>
        <v>48</v>
      </c>
      <c r="H84" t="s">
        <v>181</v>
      </c>
    </row>
    <row r="85" spans="1:8" x14ac:dyDescent="0.3">
      <c r="A85" s="8">
        <f>Questions!$H$2</f>
        <v>2024</v>
      </c>
      <c r="B85" s="8">
        <f>COUNTIF(training_2,10)</f>
        <v>0</v>
      </c>
      <c r="C85" s="8">
        <f>COUNTIF(training_2,5)</f>
        <v>0</v>
      </c>
      <c r="D85" s="8">
        <f>COUNTIF(training_2,0)</f>
        <v>0</v>
      </c>
      <c r="E85" s="8">
        <f>COUNTIF(training_2,"")</f>
        <v>48</v>
      </c>
      <c r="F85" s="8">
        <f>SUM(B85:E85)</f>
        <v>48</v>
      </c>
    </row>
    <row r="86" spans="1:8" x14ac:dyDescent="0.3">
      <c r="A86" s="8">
        <f>Questions!$J$2</f>
        <v>2025</v>
      </c>
      <c r="B86" s="8">
        <f>COUNTIF(training_3,10)</f>
        <v>0</v>
      </c>
      <c r="C86" s="8">
        <f>COUNTIF(training_3,5)</f>
        <v>0</v>
      </c>
      <c r="D86" s="8">
        <f>COUNTIF(training_3,0)</f>
        <v>0</v>
      </c>
      <c r="E86" s="8">
        <f>COUNTIF(training_3,"")</f>
        <v>48</v>
      </c>
      <c r="F86" s="8">
        <f>SUM(B86:E86)</f>
        <v>48</v>
      </c>
    </row>
    <row r="87" spans="1:8" x14ac:dyDescent="0.3">
      <c r="A87" s="8">
        <f>Questions!$L$2</f>
        <v>2026</v>
      </c>
      <c r="B87" s="8">
        <f>COUNTIF(training_4,10)</f>
        <v>0</v>
      </c>
      <c r="C87" s="8">
        <f>COUNTIF(training_4,5)</f>
        <v>0</v>
      </c>
      <c r="D87" s="8">
        <f>COUNTIF(training_4,0)</f>
        <v>0</v>
      </c>
      <c r="E87" s="8">
        <f>COUNTIF(training_4,"")</f>
        <v>48</v>
      </c>
      <c r="F87" s="8">
        <f>SUM(B87:E87)</f>
        <v>48</v>
      </c>
    </row>
    <row r="88" spans="1:8" x14ac:dyDescent="0.3">
      <c r="A88" s="8">
        <f>Questions!$N$2</f>
        <v>2027</v>
      </c>
      <c r="B88" s="8">
        <f>COUNTIF(training_5,10)</f>
        <v>0</v>
      </c>
      <c r="C88" s="8">
        <f>COUNTIF(training_5,5)</f>
        <v>0</v>
      </c>
      <c r="D88" s="8">
        <f>COUNTIF(training_5,0)</f>
        <v>0</v>
      </c>
      <c r="E88" s="8">
        <f>COUNTIF(training_5,"")</f>
        <v>48</v>
      </c>
      <c r="F88" s="8">
        <f>SUM(B88:E88)</f>
        <v>48</v>
      </c>
      <c r="H88" t="s">
        <v>182</v>
      </c>
    </row>
    <row r="89" spans="1:8" x14ac:dyDescent="0.3">
      <c r="H89" t="s">
        <v>183</v>
      </c>
    </row>
    <row r="90" spans="1:8" x14ac:dyDescent="0.3">
      <c r="H90" t="s">
        <v>201</v>
      </c>
    </row>
    <row r="91" spans="1:8" x14ac:dyDescent="0.3">
      <c r="H91" t="s">
        <v>184</v>
      </c>
    </row>
    <row r="92" spans="1:8" x14ac:dyDescent="0.3">
      <c r="H92" t="s">
        <v>185</v>
      </c>
    </row>
    <row r="96" spans="1:8" x14ac:dyDescent="0.3">
      <c r="H96" t="s">
        <v>186</v>
      </c>
    </row>
    <row r="97" spans="8:8" customFormat="1" x14ac:dyDescent="0.3">
      <c r="H97" t="s">
        <v>187</v>
      </c>
    </row>
    <row r="98" spans="8:8" customFormat="1" x14ac:dyDescent="0.3">
      <c r="H98" t="s">
        <v>188</v>
      </c>
    </row>
    <row r="99" spans="8:8" customFormat="1" x14ac:dyDescent="0.3">
      <c r="H99" t="s">
        <v>189</v>
      </c>
    </row>
    <row r="100" spans="8:8" customFormat="1" x14ac:dyDescent="0.3">
      <c r="H100" t="s">
        <v>190</v>
      </c>
    </row>
    <row r="104" spans="8:8" customFormat="1" x14ac:dyDescent="0.3">
      <c r="H104" t="s">
        <v>191</v>
      </c>
    </row>
    <row r="105" spans="8:8" customFormat="1" x14ac:dyDescent="0.3">
      <c r="H105" t="s">
        <v>192</v>
      </c>
    </row>
    <row r="106" spans="8:8" customFormat="1" x14ac:dyDescent="0.3">
      <c r="H106" t="s">
        <v>193</v>
      </c>
    </row>
    <row r="107" spans="8:8" customFormat="1" x14ac:dyDescent="0.3">
      <c r="H107" t="s">
        <v>194</v>
      </c>
    </row>
    <row r="108" spans="8:8" customFormat="1" x14ac:dyDescent="0.3">
      <c r="H108" t="s">
        <v>195</v>
      </c>
    </row>
    <row r="112" spans="8:8" customFormat="1" x14ac:dyDescent="0.3">
      <c r="H112" t="s">
        <v>196</v>
      </c>
    </row>
    <row r="113" spans="8:8" customFormat="1" x14ac:dyDescent="0.3">
      <c r="H113" t="s">
        <v>197</v>
      </c>
    </row>
    <row r="114" spans="8:8" customFormat="1" x14ac:dyDescent="0.3">
      <c r="H114" t="s">
        <v>198</v>
      </c>
    </row>
    <row r="115" spans="8:8" customFormat="1" x14ac:dyDescent="0.3">
      <c r="H115" t="s">
        <v>199</v>
      </c>
    </row>
    <row r="116" spans="8:8" customFormat="1" x14ac:dyDescent="0.3">
      <c r="H116" t="s">
        <v>200</v>
      </c>
    </row>
  </sheetData>
  <sheetProtection sheet="1" selectLockedCells="1" selectUnlockedCells="1"/>
  <mergeCells count="10">
    <mergeCell ref="A82:F82"/>
    <mergeCell ref="A30:F30"/>
    <mergeCell ref="P30:U30"/>
    <mergeCell ref="A4:F4"/>
    <mergeCell ref="I4:N4"/>
    <mergeCell ref="P4:U4"/>
    <mergeCell ref="I30:N30"/>
    <mergeCell ref="A56:F56"/>
    <mergeCell ref="I56:N56"/>
    <mergeCell ref="P56:U56"/>
  </mergeCells>
  <pageMargins left="0.7" right="0.7" top="0.75" bottom="0.75" header="0.3" footer="0.3"/>
  <pageSetup scale="3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55</vt:i4>
      </vt:variant>
    </vt:vector>
  </HeadingPairs>
  <TitlesOfParts>
    <vt:vector size="58" baseType="lpstr">
      <vt:lpstr>Questions</vt:lpstr>
      <vt:lpstr>Dashboard Pie Charts</vt:lpstr>
      <vt:lpstr>Dashboard Bar Charts</vt:lpstr>
      <vt:lpstr>column_1</vt:lpstr>
      <vt:lpstr>column_2</vt:lpstr>
      <vt:lpstr>column_3</vt:lpstr>
      <vt:lpstr>column_4</vt:lpstr>
      <vt:lpstr>column_5</vt:lpstr>
      <vt:lpstr>commitment_1</vt:lpstr>
      <vt:lpstr>commitment_2</vt:lpstr>
      <vt:lpstr>commitment_3</vt:lpstr>
      <vt:lpstr>commitment_4</vt:lpstr>
      <vt:lpstr>commitment_5</vt:lpstr>
      <vt:lpstr>coordinator_1</vt:lpstr>
      <vt:lpstr>coordinator_2</vt:lpstr>
      <vt:lpstr>coordinator_3</vt:lpstr>
      <vt:lpstr>coordinator_4</vt:lpstr>
      <vt:lpstr>coordinator_5</vt:lpstr>
      <vt:lpstr>hazard_1</vt:lpstr>
      <vt:lpstr>hazard_2</vt:lpstr>
      <vt:lpstr>hazard_3</vt:lpstr>
      <vt:lpstr>hazard_4</vt:lpstr>
      <vt:lpstr>hazard_5</vt:lpstr>
      <vt:lpstr>hiring_1</vt:lpstr>
      <vt:lpstr>hiring_2</vt:lpstr>
      <vt:lpstr>hiring_3</vt:lpstr>
      <vt:lpstr>hiring_4</vt:lpstr>
      <vt:lpstr>hiring_5</vt:lpstr>
      <vt:lpstr>incident_1</vt:lpstr>
      <vt:lpstr>incident_2</vt:lpstr>
      <vt:lpstr>incident_3</vt:lpstr>
      <vt:lpstr>incident_4</vt:lpstr>
      <vt:lpstr>incident_5</vt:lpstr>
      <vt:lpstr>record_1</vt:lpstr>
      <vt:lpstr>record_2</vt:lpstr>
      <vt:lpstr>record_3</vt:lpstr>
      <vt:lpstr>record_4</vt:lpstr>
      <vt:lpstr>record_5</vt:lpstr>
      <vt:lpstr>roles_1</vt:lpstr>
      <vt:lpstr>roles_2</vt:lpstr>
      <vt:lpstr>roles_3</vt:lpstr>
      <vt:lpstr>roles_4</vt:lpstr>
      <vt:lpstr>roles_5</vt:lpstr>
      <vt:lpstr>safety_1</vt:lpstr>
      <vt:lpstr>safety_2</vt:lpstr>
      <vt:lpstr>safety_3</vt:lpstr>
      <vt:lpstr>safety_4</vt:lpstr>
      <vt:lpstr>safety_5</vt:lpstr>
      <vt:lpstr>training_1</vt:lpstr>
      <vt:lpstr>training_2</vt:lpstr>
      <vt:lpstr>training_3</vt:lpstr>
      <vt:lpstr>training_4</vt:lpstr>
      <vt:lpstr>training_5</vt:lpstr>
      <vt:lpstr>work_1</vt:lpstr>
      <vt:lpstr>work_2</vt:lpstr>
      <vt:lpstr>work_3</vt:lpstr>
      <vt:lpstr>work_4</vt:lpstr>
      <vt:lpstr>work_5</vt:lpstr>
    </vt:vector>
  </TitlesOfParts>
  <Company>Montana State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Rudy Hruska</dc:creator>
  <cp:lastModifiedBy>Britani Laughery</cp:lastModifiedBy>
  <cp:lastPrinted>2013-12-27T19:16:43Z</cp:lastPrinted>
  <dcterms:created xsi:type="dcterms:W3CDTF">2013-09-23T22:22:27Z</dcterms:created>
  <dcterms:modified xsi:type="dcterms:W3CDTF">2023-06-28T21:44:27Z</dcterms:modified>
</cp:coreProperties>
</file>